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1640" tabRatio="602" firstSheet="8" activeTab="8"/>
  </bookViews>
  <sheets>
    <sheet name="Тек.ремонт для начальников учас" sheetId="13" r:id="rId1"/>
    <sheet name="Козырьки 2015" sheetId="11" r:id="rId2"/>
    <sheet name="Гаврилов 04.2015 г." sheetId="9" r:id="rId3"/>
    <sheet name="Болдырев 04.2015 г." sheetId="8" r:id="rId4"/>
    <sheet name="Стыки, козырьки 04.2015 г." sheetId="7" r:id="rId5"/>
    <sheet name="Стыки 01.04.2015 г. Уют" sheetId="6" r:id="rId6"/>
    <sheet name="Стыки 01.04.2015 г. РЭУ" sheetId="5" r:id="rId7"/>
    <sheet name="План на сайт 01.04.2015 г." sheetId="4" r:id="rId8"/>
    <sheet name="План" sheetId="14" r:id="rId9"/>
  </sheets>
  <calcPr calcId="125725"/>
</workbook>
</file>

<file path=xl/calcChain.xml><?xml version="1.0" encoding="utf-8"?>
<calcChain xmlns="http://schemas.openxmlformats.org/spreadsheetml/2006/main">
  <c r="E7" i="14"/>
  <c r="E6"/>
  <c r="K291" i="13" l="1"/>
  <c r="E290"/>
  <c r="F290" s="1"/>
  <c r="K287"/>
  <c r="E286"/>
  <c r="F286" s="1"/>
  <c r="K283"/>
  <c r="E282"/>
  <c r="F282" s="1"/>
  <c r="K278"/>
  <c r="H276"/>
  <c r="J276" s="1"/>
  <c r="E276"/>
  <c r="F276" s="1"/>
  <c r="K272"/>
  <c r="K273" s="1"/>
  <c r="E272"/>
  <c r="F272" s="1"/>
  <c r="K268"/>
  <c r="K269" s="1"/>
  <c r="E268"/>
  <c r="F268" s="1"/>
  <c r="K265"/>
  <c r="E263"/>
  <c r="F263" s="1"/>
  <c r="K260"/>
  <c r="E259"/>
  <c r="F259" s="1"/>
  <c r="E257"/>
  <c r="F257" s="1"/>
  <c r="K257" s="1"/>
  <c r="E256"/>
  <c r="F256" s="1"/>
  <c r="K256" s="1"/>
  <c r="K254"/>
  <c r="K253"/>
  <c r="E252"/>
  <c r="F252" s="1"/>
  <c r="H248"/>
  <c r="K248" s="1"/>
  <c r="H247"/>
  <c r="K247" s="1"/>
  <c r="E247"/>
  <c r="F247" s="1"/>
  <c r="K244"/>
  <c r="E243"/>
  <c r="F243" s="1"/>
  <c r="K240"/>
  <c r="E239"/>
  <c r="F239" s="1"/>
  <c r="K235"/>
  <c r="K236" s="1"/>
  <c r="J234"/>
  <c r="E234"/>
  <c r="F234" s="1"/>
  <c r="K231"/>
  <c r="E229"/>
  <c r="F229" s="1"/>
  <c r="H225"/>
  <c r="J225" s="1"/>
  <c r="E225"/>
  <c r="F225" s="1"/>
  <c r="K220"/>
  <c r="K222" s="1"/>
  <c r="E220"/>
  <c r="F220" s="1"/>
  <c r="K216"/>
  <c r="H215"/>
  <c r="K215" s="1"/>
  <c r="E215"/>
  <c r="F215" s="1"/>
  <c r="K212"/>
  <c r="E211"/>
  <c r="F211" s="1"/>
  <c r="H207"/>
  <c r="K207" s="1"/>
  <c r="K206"/>
  <c r="E205"/>
  <c r="F205" s="1"/>
  <c r="H201"/>
  <c r="K201" s="1"/>
  <c r="H199"/>
  <c r="K199" s="1"/>
  <c r="E199"/>
  <c r="F199" s="1"/>
  <c r="K195"/>
  <c r="H194"/>
  <c r="K194" s="1"/>
  <c r="E194"/>
  <c r="F194" s="1"/>
  <c r="H190"/>
  <c r="K190" s="1"/>
  <c r="H189"/>
  <c r="J189" s="1"/>
  <c r="K188"/>
  <c r="E188"/>
  <c r="F188" s="1"/>
  <c r="K183"/>
  <c r="K185" s="1"/>
  <c r="E183"/>
  <c r="F183" s="1"/>
  <c r="K178"/>
  <c r="K180" s="1"/>
  <c r="E178"/>
  <c r="F178" s="1"/>
  <c r="K174"/>
  <c r="K175" s="1"/>
  <c r="E174"/>
  <c r="F174" s="1"/>
  <c r="K171"/>
  <c r="E170"/>
  <c r="F170" s="1"/>
  <c r="K166"/>
  <c r="K167" s="1"/>
  <c r="E166"/>
  <c r="F166" s="1"/>
  <c r="H161"/>
  <c r="K161" s="1"/>
  <c r="H160"/>
  <c r="K160" s="1"/>
  <c r="E160"/>
  <c r="F160" s="1"/>
  <c r="H156"/>
  <c r="K156" s="1"/>
  <c r="H155"/>
  <c r="K155" s="1"/>
  <c r="E155"/>
  <c r="F155" s="1"/>
  <c r="H151"/>
  <c r="K151" s="1"/>
  <c r="K152" s="1"/>
  <c r="H150"/>
  <c r="J150" s="1"/>
  <c r="E150"/>
  <c r="F150" s="1"/>
  <c r="K146"/>
  <c r="H140"/>
  <c r="K140" s="1"/>
  <c r="H139"/>
  <c r="K139" s="1"/>
  <c r="E139"/>
  <c r="F139" s="1"/>
  <c r="H134"/>
  <c r="K134" s="1"/>
  <c r="H132"/>
  <c r="K132" s="1"/>
  <c r="E132"/>
  <c r="F132" s="1"/>
  <c r="H128"/>
  <c r="K128" s="1"/>
  <c r="H127"/>
  <c r="K127" s="1"/>
  <c r="E127"/>
  <c r="F127" s="1"/>
  <c r="H123"/>
  <c r="K123" s="1"/>
  <c r="K124" s="1"/>
  <c r="E123"/>
  <c r="F123" s="1"/>
  <c r="H119"/>
  <c r="K118"/>
  <c r="H117"/>
  <c r="K117" s="1"/>
  <c r="E117"/>
  <c r="F117" s="1"/>
  <c r="K113"/>
  <c r="K112"/>
  <c r="E112"/>
  <c r="F112" s="1"/>
  <c r="H108"/>
  <c r="K108" s="1"/>
  <c r="K109" s="1"/>
  <c r="E108"/>
  <c r="F108" s="1"/>
  <c r="K104"/>
  <c r="K105" s="1"/>
  <c r="J104"/>
  <c r="E104"/>
  <c r="F104" s="1"/>
  <c r="K100"/>
  <c r="K98"/>
  <c r="E97"/>
  <c r="F97" s="1"/>
  <c r="J92"/>
  <c r="H92"/>
  <c r="K92" s="1"/>
  <c r="H91"/>
  <c r="K91" s="1"/>
  <c r="E91"/>
  <c r="F91" s="1"/>
  <c r="K87"/>
  <c r="H86"/>
  <c r="K86" s="1"/>
  <c r="E86"/>
  <c r="F86" s="1"/>
  <c r="H81"/>
  <c r="K81" s="1"/>
  <c r="H80"/>
  <c r="K80" s="1"/>
  <c r="E80"/>
  <c r="F80" s="1"/>
  <c r="K76"/>
  <c r="K75"/>
  <c r="H73"/>
  <c r="K73" s="1"/>
  <c r="E73"/>
  <c r="F73" s="1"/>
  <c r="K68"/>
  <c r="K70" s="1"/>
  <c r="E68"/>
  <c r="F68" s="1"/>
  <c r="H64"/>
  <c r="K64" s="1"/>
  <c r="H62"/>
  <c r="K62" s="1"/>
  <c r="E62"/>
  <c r="F62" s="1"/>
  <c r="K58"/>
  <c r="H56"/>
  <c r="K56" s="1"/>
  <c r="E56"/>
  <c r="F56" s="1"/>
  <c r="H52"/>
  <c r="K52" s="1"/>
  <c r="K51"/>
  <c r="E51"/>
  <c r="F51" s="1"/>
  <c r="K47"/>
  <c r="H45"/>
  <c r="K45" s="1"/>
  <c r="E45"/>
  <c r="F45" s="1"/>
  <c r="K40"/>
  <c r="K42" s="1"/>
  <c r="E40"/>
  <c r="F40" s="1"/>
  <c r="H34"/>
  <c r="K34" s="1"/>
  <c r="H33"/>
  <c r="K33" s="1"/>
  <c r="E33"/>
  <c r="F33" s="1"/>
  <c r="H28"/>
  <c r="K28" s="1"/>
  <c r="H27"/>
  <c r="K27" s="1"/>
  <c r="E27"/>
  <c r="F27" s="1"/>
  <c r="K22"/>
  <c r="K24" s="1"/>
  <c r="E22"/>
  <c r="F22" s="1"/>
  <c r="H18"/>
  <c r="K18" s="1"/>
  <c r="H17"/>
  <c r="K17" s="1"/>
  <c r="E17"/>
  <c r="F17" s="1"/>
  <c r="H13"/>
  <c r="K13" s="1"/>
  <c r="J11"/>
  <c r="H11"/>
  <c r="K11" s="1"/>
  <c r="E11"/>
  <c r="F11" s="1"/>
  <c r="J6"/>
  <c r="H6"/>
  <c r="K6" s="1"/>
  <c r="K8" s="1"/>
  <c r="E5"/>
  <c r="F5" s="1"/>
  <c r="K202" l="1"/>
  <c r="K203" s="1"/>
  <c r="K241"/>
  <c r="K48"/>
  <c r="K49" s="1"/>
  <c r="K172"/>
  <c r="K153"/>
  <c r="K53"/>
  <c r="K54" s="1"/>
  <c r="K114"/>
  <c r="K120"/>
  <c r="K121" s="1"/>
  <c r="J215"/>
  <c r="K249"/>
  <c r="K250" s="1"/>
  <c r="K270"/>
  <c r="K288"/>
  <c r="K255"/>
  <c r="K88"/>
  <c r="K89" s="1"/>
  <c r="K37"/>
  <c r="K38" s="1"/>
  <c r="K101"/>
  <c r="K102" s="1"/>
  <c r="K208"/>
  <c r="K209" s="1"/>
  <c r="K225"/>
  <c r="K226" s="1"/>
  <c r="K227" s="1"/>
  <c r="K77"/>
  <c r="K78" s="1"/>
  <c r="K94"/>
  <c r="K95" s="1"/>
  <c r="K110"/>
  <c r="K136"/>
  <c r="K137" s="1"/>
  <c r="K157"/>
  <c r="K158" s="1"/>
  <c r="K106"/>
  <c r="K147"/>
  <c r="K148" s="1"/>
  <c r="K163"/>
  <c r="K164" s="1"/>
  <c r="K181"/>
  <c r="K223"/>
  <c r="K245"/>
  <c r="K176"/>
  <c r="K292"/>
  <c r="K59"/>
  <c r="K60" s="1"/>
  <c r="K65"/>
  <c r="K66" s="1"/>
  <c r="K168"/>
  <c r="K232"/>
  <c r="K237"/>
  <c r="K19"/>
  <c r="K20" s="1"/>
  <c r="K25"/>
  <c r="K196"/>
  <c r="K197" s="1"/>
  <c r="K115"/>
  <c r="K9"/>
  <c r="K30"/>
  <c r="K31" s="1"/>
  <c r="K71"/>
  <c r="K129"/>
  <c r="K130" s="1"/>
  <c r="K14"/>
  <c r="K15" s="1"/>
  <c r="K213"/>
  <c r="K217"/>
  <c r="K218" s="1"/>
  <c r="K261"/>
  <c r="K266"/>
  <c r="K284"/>
  <c r="K83"/>
  <c r="K84" s="1"/>
  <c r="K186"/>
  <c r="K43"/>
  <c r="K125"/>
  <c r="K191"/>
  <c r="K192" s="1"/>
  <c r="K274"/>
  <c r="K276"/>
  <c r="K279" s="1"/>
  <c r="K280" s="1"/>
  <c r="H35" i="8"/>
  <c r="E39"/>
  <c r="E25"/>
  <c r="G25"/>
  <c r="G15"/>
  <c r="G13"/>
  <c r="E15"/>
  <c r="E9"/>
  <c r="H5"/>
  <c r="E23"/>
  <c r="H7"/>
  <c r="H48"/>
  <c r="H46"/>
  <c r="E29"/>
  <c r="E58"/>
  <c r="G58"/>
  <c r="G60"/>
  <c r="G50"/>
  <c r="G19"/>
  <c r="G52"/>
  <c r="G41"/>
  <c r="G31"/>
  <c r="G48"/>
  <c r="G46"/>
  <c r="E41"/>
  <c r="E46"/>
  <c r="E48"/>
  <c r="E50"/>
  <c r="G54"/>
  <c r="G21"/>
  <c r="G56"/>
  <c r="G5"/>
  <c r="G7"/>
  <c r="G35"/>
  <c r="E31"/>
  <c r="D64" i="9"/>
  <c r="D50"/>
  <c r="E60" i="8"/>
  <c r="E56"/>
  <c r="E52"/>
  <c r="E27"/>
  <c r="E21"/>
  <c r="E19"/>
  <c r="E11"/>
  <c r="E7"/>
  <c r="E5"/>
  <c r="E99" i="7"/>
  <c r="E95"/>
  <c r="E90"/>
  <c r="E86"/>
  <c r="E75"/>
  <c r="E73"/>
  <c r="E71"/>
  <c r="E69"/>
  <c r="E64"/>
  <c r="E59"/>
  <c r="E55"/>
  <c r="E52"/>
  <c r="E48"/>
  <c r="E46"/>
  <c r="E37"/>
  <c r="E35"/>
  <c r="E33"/>
  <c r="E31"/>
  <c r="E29"/>
  <c r="E27"/>
  <c r="E24"/>
  <c r="E19"/>
  <c r="E16"/>
  <c r="E14"/>
  <c r="E7"/>
  <c r="E5"/>
  <c r="G61" i="8" l="1"/>
  <c r="E61"/>
  <c r="E101" i="7"/>
  <c r="E102"/>
  <c r="E51" i="5"/>
  <c r="G51" i="6" l="1"/>
  <c r="G39"/>
  <c r="G33"/>
  <c r="G29"/>
  <c r="G25"/>
  <c r="G19"/>
  <c r="G15"/>
  <c r="G13"/>
  <c r="G11"/>
  <c r="G58"/>
  <c r="E58"/>
  <c r="E51"/>
  <c r="E29"/>
  <c r="E25"/>
  <c r="E15"/>
  <c r="E13"/>
  <c r="E11"/>
  <c r="G55" i="5"/>
  <c r="G51"/>
  <c r="G47"/>
  <c r="G45"/>
  <c r="G41"/>
  <c r="G31"/>
  <c r="G29"/>
  <c r="G27"/>
  <c r="G25"/>
  <c r="G23"/>
  <c r="G19"/>
  <c r="G17"/>
  <c r="G15"/>
  <c r="G13"/>
  <c r="G7"/>
  <c r="G5"/>
  <c r="G60"/>
  <c r="E60"/>
  <c r="G57"/>
  <c r="E31"/>
  <c r="E59"/>
  <c r="G59" s="1"/>
  <c r="E55"/>
  <c r="E47"/>
  <c r="E45"/>
  <c r="E29"/>
  <c r="E27"/>
  <c r="E25"/>
  <c r="E19"/>
  <c r="E15"/>
  <c r="E13"/>
  <c r="E5"/>
  <c r="G119" i="4"/>
  <c r="G112"/>
  <c r="G149"/>
  <c r="G147"/>
  <c r="E143"/>
  <c r="G143" s="1"/>
  <c r="G138"/>
  <c r="G137"/>
  <c r="G135"/>
  <c r="G133"/>
  <c r="G129"/>
  <c r="E126"/>
  <c r="G126" s="1"/>
  <c r="G124"/>
  <c r="G122"/>
  <c r="E121"/>
  <c r="G121" s="1"/>
  <c r="G117"/>
  <c r="G114"/>
  <c r="E111"/>
  <c r="G111" s="1"/>
  <c r="G109"/>
  <c r="G108"/>
  <c r="E107"/>
  <c r="G107" s="1"/>
  <c r="E105"/>
  <c r="G105" s="1"/>
  <c r="G103"/>
  <c r="E102"/>
  <c r="G102" s="1"/>
  <c r="G99"/>
  <c r="G98"/>
  <c r="E94"/>
  <c r="G94" s="1"/>
  <c r="G89"/>
  <c r="G88"/>
  <c r="G84"/>
  <c r="G83"/>
  <c r="E83"/>
  <c r="G81"/>
  <c r="G80"/>
  <c r="E76"/>
  <c r="G76" s="1"/>
  <c r="G74"/>
  <c r="G73"/>
  <c r="E71"/>
  <c r="G71" s="1"/>
  <c r="G69"/>
  <c r="G68"/>
  <c r="G67"/>
  <c r="G65"/>
  <c r="E65"/>
  <c r="G62"/>
  <c r="G60"/>
  <c r="G59"/>
  <c r="G58"/>
  <c r="G56"/>
  <c r="E49"/>
  <c r="G49" s="1"/>
  <c r="E46"/>
  <c r="G46" s="1"/>
  <c r="E44"/>
  <c r="G44" s="1"/>
  <c r="E42"/>
  <c r="G42" s="1"/>
  <c r="G40"/>
  <c r="G37"/>
  <c r="G36"/>
  <c r="E34"/>
  <c r="G34" s="1"/>
  <c r="G32"/>
  <c r="G31"/>
  <c r="E28"/>
  <c r="G28" s="1"/>
  <c r="G26"/>
  <c r="G25"/>
  <c r="G23"/>
  <c r="E22"/>
  <c r="G22" s="1"/>
  <c r="G20"/>
  <c r="G19"/>
  <c r="G18"/>
  <c r="G15"/>
  <c r="G14"/>
  <c r="G9"/>
  <c r="G7"/>
  <c r="E6"/>
  <c r="G6" s="1"/>
  <c r="G5"/>
</calcChain>
</file>

<file path=xl/sharedStrings.xml><?xml version="1.0" encoding="utf-8"?>
<sst xmlns="http://schemas.openxmlformats.org/spreadsheetml/2006/main" count="1510" uniqueCount="394">
  <si>
    <t>№ п.п.</t>
  </si>
  <si>
    <t>Улица</t>
  </si>
  <si>
    <t>Дом</t>
  </si>
  <si>
    <t>Площадь квартир,  м2</t>
  </si>
  <si>
    <t>Тариф,  руб.</t>
  </si>
  <si>
    <t>Примечание</t>
  </si>
  <si>
    <t xml:space="preserve">Сумма  затрат,                  руб.                                        </t>
  </si>
  <si>
    <t>Лермонтова</t>
  </si>
  <si>
    <t>итого</t>
  </si>
  <si>
    <t>остаток</t>
  </si>
  <si>
    <t>4/1</t>
  </si>
  <si>
    <t xml:space="preserve"> </t>
  </si>
  <si>
    <t>4/2</t>
  </si>
  <si>
    <t>6</t>
  </si>
  <si>
    <t>6/2</t>
  </si>
  <si>
    <t>6/3</t>
  </si>
  <si>
    <t>10</t>
  </si>
  <si>
    <t>12</t>
  </si>
  <si>
    <t>Мира</t>
  </si>
  <si>
    <t>19</t>
  </si>
  <si>
    <t>23/1</t>
  </si>
  <si>
    <t>Островского</t>
  </si>
  <si>
    <t>9/1</t>
  </si>
  <si>
    <t>17</t>
  </si>
  <si>
    <t>21</t>
  </si>
  <si>
    <t>21/1</t>
  </si>
  <si>
    <t>21А</t>
  </si>
  <si>
    <t>29</t>
  </si>
  <si>
    <t>Б. Писателей</t>
  </si>
  <si>
    <t>15</t>
  </si>
  <si>
    <t>Профсоюзов</t>
  </si>
  <si>
    <t>32</t>
  </si>
  <si>
    <t>34</t>
  </si>
  <si>
    <t>34/1</t>
  </si>
  <si>
    <t>36</t>
  </si>
  <si>
    <t>40</t>
  </si>
  <si>
    <t>42</t>
  </si>
  <si>
    <t xml:space="preserve">Бахилова ул.   </t>
  </si>
  <si>
    <t xml:space="preserve">Ленина пр-т.     </t>
  </si>
  <si>
    <t xml:space="preserve">Мира пр-т.       </t>
  </si>
  <si>
    <t xml:space="preserve">Мира пр-т.     </t>
  </si>
  <si>
    <t xml:space="preserve">Мира пр-т.      </t>
  </si>
  <si>
    <t>32/2</t>
  </si>
  <si>
    <t xml:space="preserve">Островского ул.    </t>
  </si>
  <si>
    <t xml:space="preserve">Профсоюзов ул.     </t>
  </si>
  <si>
    <t xml:space="preserve">Студенческая ул.    </t>
  </si>
  <si>
    <t xml:space="preserve">Студенческая ул.   </t>
  </si>
  <si>
    <t xml:space="preserve">50 Лет ВЛКСМ ул.       </t>
  </si>
  <si>
    <t xml:space="preserve">Юности ул.        </t>
  </si>
  <si>
    <t>Парковая ул.</t>
  </si>
  <si>
    <t xml:space="preserve">Бахилова ул.    </t>
  </si>
  <si>
    <t xml:space="preserve">Маяковского ул.  </t>
  </si>
  <si>
    <t xml:space="preserve">30 Лет Победы ул.    </t>
  </si>
  <si>
    <t>41/1</t>
  </si>
  <si>
    <t xml:space="preserve">30 Лет Победы ул.   </t>
  </si>
  <si>
    <t>41/2</t>
  </si>
  <si>
    <t>14/1</t>
  </si>
  <si>
    <t>Студенческая</t>
  </si>
  <si>
    <t xml:space="preserve">50 Лет ВЛКСМ  </t>
  </si>
  <si>
    <t>2/2</t>
  </si>
  <si>
    <t>Плановая сумма на текущ. ремонт,  руб.</t>
  </si>
  <si>
    <t>Наименование выполненных работ</t>
  </si>
  <si>
    <t>План/Факт</t>
  </si>
  <si>
    <t>ремонт  вент. короба кв.54</t>
  </si>
  <si>
    <t>ремонт</t>
  </si>
  <si>
    <t>ремонт парапета</t>
  </si>
  <si>
    <t>устройство слуховых окон на чердаке</t>
  </si>
  <si>
    <t>ремонт и утепление м.камер, отопление, под.1,2,3</t>
  </si>
  <si>
    <t>замена оконных блоков, под.3</t>
  </si>
  <si>
    <t>приобретение м/клапана, под.7 (1 шт.)</t>
  </si>
  <si>
    <t>ремонт балконного экрана, кв.101 (8этаж)</t>
  </si>
  <si>
    <t>устройство отмостки, торец 6 под.</t>
  </si>
  <si>
    <t>ремонт балконного козырька, кв. 69</t>
  </si>
  <si>
    <t>замена светильников, под.4</t>
  </si>
  <si>
    <t>И.Захарова</t>
  </si>
  <si>
    <t>9</t>
  </si>
  <si>
    <t>11</t>
  </si>
  <si>
    <t>ремонт межпанельных стыков, кв.</t>
  </si>
  <si>
    <t>ремонт гидроизоляции балконного козырька, кв.61</t>
  </si>
  <si>
    <t>ремонт балконного козырька, кв.</t>
  </si>
  <si>
    <t xml:space="preserve">ремонт межпанельных стыков, кв. </t>
  </si>
  <si>
    <t>ремонт козырьков, кв.</t>
  </si>
  <si>
    <t>ремонт кровли, кв.</t>
  </si>
  <si>
    <t>54 п.м. все этажи</t>
  </si>
  <si>
    <t>кв..68 брак топаз 2014 г. 12 п.м. - темпер. Шов чердак</t>
  </si>
  <si>
    <t>ремонт межпанельных стыков, кв.39</t>
  </si>
  <si>
    <t>ремонт межпанельных стыков, кв.20</t>
  </si>
  <si>
    <t>ремонт межпанельных стыков, кв.18,93</t>
  </si>
  <si>
    <t>ремонт межпанельных стыков, кв. 181</t>
  </si>
  <si>
    <t>кв.39 - 19,5 п.м. кап. рем. Подрядчик, до15.06.2014 г вх 886 от 15.06.2014 г.</t>
  </si>
  <si>
    <t>ремонт кровли, кв.138,139,140</t>
  </si>
  <si>
    <t>кол-во</t>
  </si>
  <si>
    <t>ремонт канализационного выпуска, под.7</t>
  </si>
  <si>
    <t>приобретение доводчика, под.3</t>
  </si>
  <si>
    <t>ремонт балконного козырька кв. 83</t>
  </si>
  <si>
    <t>ед. измер.</t>
  </si>
  <si>
    <t>ремонт межпанельных стыков, кв.26</t>
  </si>
  <si>
    <t>шт.</t>
  </si>
  <si>
    <t>ремонт межпанельных стыков, кв.44</t>
  </si>
  <si>
    <t xml:space="preserve">73 брак Топаз 2015 г. </t>
  </si>
  <si>
    <t>ремонт межпанельных стыков, кв.160,168</t>
  </si>
  <si>
    <t>п.м.</t>
  </si>
  <si>
    <t>ремонт межпанельных стыков,  кв.50,81,84</t>
  </si>
  <si>
    <t>приобретение и замена  м/п клапанов, под.1</t>
  </si>
  <si>
    <t>м2</t>
  </si>
  <si>
    <t>ремонт кровли, под.4</t>
  </si>
  <si>
    <t>ремонт межпанельных стыков, кв.2,4,20,104,</t>
  </si>
  <si>
    <t>п.м</t>
  </si>
  <si>
    <t>ремонт температурного шва, кв.56,65</t>
  </si>
  <si>
    <t>ремонт кровли, кв.52,53</t>
  </si>
  <si>
    <t>ремонт межпанельных стыков, кв.22</t>
  </si>
  <si>
    <t>устройство вент. отверстия в кухне кв.42</t>
  </si>
  <si>
    <t>изготовление и монтаж окон ПХВ, под.2</t>
  </si>
  <si>
    <t>изготовление и монтаж окон ПХВ, под.3</t>
  </si>
  <si>
    <t>Изготовление и монтаж окон ПХВ,под.1,2,3,4,5,7,8</t>
  </si>
  <si>
    <t>Изготовление и монтаж окон ПХВ,под.2,4,5,7</t>
  </si>
  <si>
    <t>Изготовление и монтаж окон ПХВ, под.1,2,5</t>
  </si>
  <si>
    <t>сборки</t>
  </si>
  <si>
    <t>восстановить отопление МОП (за лифтом), под.4</t>
  </si>
  <si>
    <t>замена вх. группы, под. 1,2</t>
  </si>
  <si>
    <t>ремонт подъезда, под.1</t>
  </si>
  <si>
    <t>замена оконных блоков, под.9</t>
  </si>
  <si>
    <t>двери, под.1</t>
  </si>
  <si>
    <t>урна, под4</t>
  </si>
  <si>
    <t>ремонт межпанельных стыков, кв.41</t>
  </si>
  <si>
    <t>услуга</t>
  </si>
  <si>
    <t>кв.м</t>
  </si>
  <si>
    <t>ремонт кровли, кв.108</t>
  </si>
  <si>
    <t>ремонт балконного козырька, кв.108</t>
  </si>
  <si>
    <t xml:space="preserve">замена светильников,  под.7 </t>
  </si>
  <si>
    <t>обшивка тамбура провлистом</t>
  </si>
  <si>
    <t>ремонт кровли</t>
  </si>
  <si>
    <t>ремонт межпанельных стыков, кв.97</t>
  </si>
  <si>
    <t>ремонт межпанельных стыков, кв. 41,42,52</t>
  </si>
  <si>
    <t>замена светильников, под.1</t>
  </si>
  <si>
    <t>устройство пандуса, под.2</t>
  </si>
  <si>
    <t>замена м/клапанов, под.1,3</t>
  </si>
  <si>
    <t>ремонт балконного козырька, кв.13</t>
  </si>
  <si>
    <t>под.</t>
  </si>
  <si>
    <t>ремонт балконного козырька, кв. 94</t>
  </si>
  <si>
    <t>ремонт межпанельных стыков, кв.30,32,38,48,99</t>
  </si>
  <si>
    <t>ремонт балконного козырька, кв. 61</t>
  </si>
  <si>
    <t>ремонт межпанельных стыков, кв.148</t>
  </si>
  <si>
    <t>ремонт межпанельных стыков, кв.88,120</t>
  </si>
  <si>
    <t>кв.88 долг, пени</t>
  </si>
  <si>
    <t>ремонт межпанельных стыков, кв.26, 28, 56</t>
  </si>
  <si>
    <t>ремонт межпанельных стыков, кв.53,67,129,135,149,219,249,272,293,312</t>
  </si>
  <si>
    <t>кв.219 долг, пени</t>
  </si>
  <si>
    <t>съезд для коляски, под.9-10</t>
  </si>
  <si>
    <t>восстановление вентиляционных каналов, кв.160</t>
  </si>
  <si>
    <t>усл.</t>
  </si>
  <si>
    <t>228-топаз 2014 г.,20-долг, пени</t>
  </si>
  <si>
    <t>замена канализационного выпуска, под.2,3</t>
  </si>
  <si>
    <t>ремонт пола МОП, под.1,3,5,7</t>
  </si>
  <si>
    <t>май-июнь 2015 г.</t>
  </si>
  <si>
    <t>ремонт межпанельных стыков, под. 1,3,4,8</t>
  </si>
  <si>
    <t>ремонт примыкания лестничных маршей, под.2,5,7</t>
  </si>
  <si>
    <t>восстановление примыкания дверных и оконных блоков, под.1,2,3,4,5,6,7,8</t>
  </si>
  <si>
    <t>восстановление примыкания и окраска входных групп, под.1-8</t>
  </si>
  <si>
    <t>июнь-июль 2015 г.</t>
  </si>
  <si>
    <t>ремонт и окраска мусороприемного ствола, под.1,2,3,4</t>
  </si>
  <si>
    <t>замена расходомера</t>
  </si>
  <si>
    <t>ремонт межпанельных стыков, кв. 56,72</t>
  </si>
  <si>
    <t>приобретение и замена светильников</t>
  </si>
  <si>
    <t>Стыки</t>
  </si>
  <si>
    <t>ремонт межпанельных стыков, кв.1,4,7,10,34</t>
  </si>
  <si>
    <t>ремонт межпанельных стыков, кв. 23,127</t>
  </si>
  <si>
    <t>ремонт межпанельных стыков, кв.55,56</t>
  </si>
  <si>
    <t>замена уличного освещения</t>
  </si>
  <si>
    <t>приобретение мусороприемного клапа</t>
  </si>
  <si>
    <t>приобретение светильников, под.22</t>
  </si>
  <si>
    <t>ремонт межпанельных стыков, кв.45, 69,77,88, 105,125,132</t>
  </si>
  <si>
    <t>ремонт кровли, кв.89</t>
  </si>
  <si>
    <t>замена запорной арматуры на системе отопления</t>
  </si>
  <si>
    <t>замена  сборок на системе отопления</t>
  </si>
  <si>
    <t>замена сборок на ХГВС</t>
  </si>
  <si>
    <t>замена канализационной разводки, под.2</t>
  </si>
  <si>
    <t>выборочный ремонт моп, под.1,2,3</t>
  </si>
  <si>
    <t>ремонт межпанельных стыков, кв.33,137</t>
  </si>
  <si>
    <t>замена подвальной разводки канализации</t>
  </si>
  <si>
    <t>демонтаж и монтаж оборудования домофона, под.1,2</t>
  </si>
  <si>
    <t>приобретение доводчика, под.1,2</t>
  </si>
  <si>
    <t>приобретение металлической двери в колясочную, под.1</t>
  </si>
  <si>
    <t>ремонт межпанельных стыков, кв.75</t>
  </si>
  <si>
    <t>ремонт межпанельных стыков, кв.186</t>
  </si>
  <si>
    <t>содержание</t>
  </si>
  <si>
    <t>замена приборов отпления, под.3</t>
  </si>
  <si>
    <t>ремонт межпанельных стыков, кв.43,68,96,140,143</t>
  </si>
  <si>
    <t>восстановление примыкания балконной плиты, кв.89</t>
  </si>
  <si>
    <r>
      <t>ремонт балконного козырька, кв.20, 131,</t>
    </r>
    <r>
      <rPr>
        <sz val="9"/>
        <color rgb="FF00B050"/>
        <rFont val="Times New Roman"/>
        <family val="1"/>
        <charset val="204"/>
      </rPr>
      <t>228</t>
    </r>
  </si>
  <si>
    <t>ремонт балконного козырька, кв.20, 131</t>
  </si>
  <si>
    <t>замена м/клапанов, под.2,3</t>
  </si>
  <si>
    <t>утепление тамбура, под.1,3,4</t>
  </si>
  <si>
    <t>ремонт помещения колясочной, под.1</t>
  </si>
  <si>
    <t>приобретение светильников, под.1</t>
  </si>
  <si>
    <t>ремонт межпанельных стыков</t>
  </si>
  <si>
    <t>План ремонтных работ на 2015 г.будет сформировани после сезонного (весеннего) осмотра МКД.</t>
  </si>
  <si>
    <r>
      <t>ремонт межпанельных стыков, кв. 41,42,52</t>
    </r>
    <r>
      <rPr>
        <b/>
        <sz val="9"/>
        <rFont val="Times New Roman"/>
        <family val="1"/>
        <charset val="204"/>
      </rPr>
      <t>,</t>
    </r>
  </si>
  <si>
    <t>ремонт межпанельных стыков, кв.43,96,140,143</t>
  </si>
  <si>
    <t>кв.39 - 19,5 п.м. кап. рем. подрядчик, до15.06.2014 г вх 886 от 15.06.2014 г.</t>
  </si>
  <si>
    <t>или сами выполним???</t>
  </si>
  <si>
    <t>Смету на работы у Чучалиной К.М.</t>
  </si>
  <si>
    <t>восстановление вентиляционных каналов, кв.5,8,11,14,26</t>
  </si>
  <si>
    <t>ремонт межпанельных стыков, кв.45, 69,77,88, 105,112,125,132</t>
  </si>
  <si>
    <t>ремонт  балконного  козырька, кв. 27</t>
  </si>
  <si>
    <t>ремонт кровли, кв. 24,25,52,53</t>
  </si>
  <si>
    <t>восстановление освещения в запасном выходе</t>
  </si>
  <si>
    <t>ремонт гидроизоляции балконного козырька, кв.26,61,62</t>
  </si>
  <si>
    <t>ремонт балконного козырька, кв. 69,143</t>
  </si>
  <si>
    <t>ремонт межпанельных стыков, кв.52,12,4</t>
  </si>
  <si>
    <t>по осмотру</t>
  </si>
  <si>
    <t>ремонт межпанельных стыков, кв.30,32,38,48,99,27,19,15</t>
  </si>
  <si>
    <t>ремонт межпанельных стыков по осмотру</t>
  </si>
  <si>
    <t>ремонт межпанельных стыков, кв. 23,127,12, по осмотру</t>
  </si>
  <si>
    <t>ремонт межпанельных стыков, кв.26,54</t>
  </si>
  <si>
    <t>ремонт межпанельных стыков, кв.43</t>
  </si>
  <si>
    <t>ремонт межпанельных стыков, кв.53,67,129,135,149,219,249,272,293,312,244, по осмотру</t>
  </si>
  <si>
    <t>ремонт межпанельных стыков,  кв.50,81,84, по осмотру</t>
  </si>
  <si>
    <t>ремонт межпанельных стыков, кв.43,68,96,140,143,50 по осмотру</t>
  </si>
  <si>
    <t>ремонт межпанельных стыков, кв.22, по осмотру</t>
  </si>
  <si>
    <t>ремонт межпанельных стыков, кв.160,168, по осмотру</t>
  </si>
  <si>
    <t>ремонт межпанельных стыков, кв.44, по осмотру</t>
  </si>
  <si>
    <t>ремонт межпанельных стыков, кв. 56,72, по осмотру</t>
  </si>
  <si>
    <t>ремонт межпанельных стыков, кв.33,137,141</t>
  </si>
  <si>
    <t>ремонт межпанельных стыков, кв.88,120, по осмотру</t>
  </si>
  <si>
    <t>ремонт межпанельных стыков  по осмотру</t>
  </si>
  <si>
    <r>
      <t>ремонт межпанельных стыков, кв. 41,42,52</t>
    </r>
    <r>
      <rPr>
        <b/>
        <sz val="9"/>
        <color rgb="FF00B050"/>
        <rFont val="Times New Roman"/>
        <family val="1"/>
        <charset val="204"/>
      </rPr>
      <t xml:space="preserve">,73, </t>
    </r>
    <r>
      <rPr>
        <b/>
        <sz val="9"/>
        <color rgb="FFFF0000"/>
        <rFont val="Times New Roman"/>
        <family val="1"/>
        <charset val="204"/>
      </rPr>
      <t>по осмотру</t>
    </r>
  </si>
  <si>
    <t>ремонт межпанельных стыков, кв.97, по осмотру</t>
  </si>
  <si>
    <t>ремонт межпанельных стыков, кв.186,84</t>
  </si>
  <si>
    <t>по состоянию на 24.04.2015 г.</t>
  </si>
  <si>
    <t>228-топаз 2014 г., кв.20-долг, пени</t>
  </si>
  <si>
    <r>
      <t xml:space="preserve">ремонт межпанельных стыков, кв. </t>
    </r>
    <r>
      <rPr>
        <b/>
        <sz val="9"/>
        <color rgb="FF00B050"/>
        <rFont val="Times New Roman"/>
        <family val="1"/>
        <charset val="204"/>
      </rPr>
      <t>73</t>
    </r>
  </si>
  <si>
    <t xml:space="preserve">73 брак Топаз 2014 г. </t>
  </si>
  <si>
    <t>228-топаз 2014 г.</t>
  </si>
  <si>
    <t>ремонт межпанельных стыков, кв.68</t>
  </si>
  <si>
    <t xml:space="preserve">Студенческая   </t>
  </si>
  <si>
    <t xml:space="preserve">топаз 2014 г. 12 п.м. </t>
  </si>
  <si>
    <t>ремонт межпанельных стыков, кв.55,56,38</t>
  </si>
  <si>
    <t>ремонт межпанельных стыков, кв. 23,127,178, по осмотру</t>
  </si>
  <si>
    <t>восстановление вентиляционных каналов, кв.160,14</t>
  </si>
  <si>
    <t>ремонт балконного козырька, кв.149</t>
  </si>
  <si>
    <t>внимание к отливам в месте стыковки балконов</t>
  </si>
  <si>
    <t>ремонт балконного козырька кв. 34</t>
  </si>
  <si>
    <t>ремонт гидроизоляции балконного козырька, кв.26,61,62,13</t>
  </si>
  <si>
    <t>по состоянию на 15.05.2015 г.</t>
  </si>
  <si>
    <t>ремонт межпанельных стыков  по осмотру (МОП)</t>
  </si>
  <si>
    <t>ремонт межпанельных стыков, кв.33,112,137,141,112</t>
  </si>
  <si>
    <t>ремонт межпанельных стыков по осмотру (МОП)</t>
  </si>
  <si>
    <t>приобретение материалов для замены сборок на системе ХГВС</t>
  </si>
  <si>
    <t>приобретение задвижек</t>
  </si>
  <si>
    <t>ремонт  балконного  козырька, кв. 47,102</t>
  </si>
  <si>
    <t>ремонт межпанельных стыков, кв.144</t>
  </si>
  <si>
    <t>окраска торцовой панели, под.10</t>
  </si>
  <si>
    <t>План</t>
  </si>
  <si>
    <t>Факт</t>
  </si>
  <si>
    <t>приобретение задвижек д.50 мм, д.80 мм</t>
  </si>
  <si>
    <t>перемотка двигателя лифта</t>
  </si>
  <si>
    <t>Доп.</t>
  </si>
  <si>
    <r>
      <t xml:space="preserve">ремонт межпанельных стыков </t>
    </r>
    <r>
      <rPr>
        <sz val="9"/>
        <rFont val="Times New Roman"/>
        <family val="1"/>
        <charset val="204"/>
      </rPr>
      <t>по осмотру</t>
    </r>
    <r>
      <rPr>
        <sz val="9"/>
        <color rgb="FFFF0000"/>
        <rFont val="Times New Roman"/>
        <family val="1"/>
        <charset val="204"/>
      </rPr>
      <t>, кв.15</t>
    </r>
  </si>
  <si>
    <t>ремонт межпанельных стыков, кв.52,12,4,66</t>
  </si>
  <si>
    <t>ремонт балконного козырька, кв 81</t>
  </si>
  <si>
    <t>ремонт  балконного  козырька, кв. 81</t>
  </si>
  <si>
    <t xml:space="preserve">ремонт балконного козырька, кв.14 </t>
  </si>
  <si>
    <t>ремонт балконного козырька кв. 14</t>
  </si>
  <si>
    <r>
      <t>ремонт межпанельных стыков, кв.</t>
    </r>
    <r>
      <rPr>
        <sz val="9"/>
        <rFont val="Times New Roman"/>
        <family val="1"/>
        <charset val="204"/>
      </rPr>
      <t>33,36,43,50,51,</t>
    </r>
    <r>
      <rPr>
        <sz val="9"/>
        <color rgb="FFFF0000"/>
        <rFont val="Times New Roman"/>
        <family val="1"/>
        <charset val="204"/>
      </rPr>
      <t>68,</t>
    </r>
    <r>
      <rPr>
        <sz val="9"/>
        <rFont val="Times New Roman"/>
        <family val="1"/>
        <charset val="204"/>
      </rPr>
      <t>72,93,96,140,143, по осмотру  под.1,4,6,9</t>
    </r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</si>
  <si>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кв.17,22,28,31,32,39,72,76,78,79,85,87,90,по осмотру  под.2,</t>
    </r>
    <r>
      <rPr>
        <sz val="9"/>
        <color rgb="FFFF0000"/>
        <rFont val="Times New Roman"/>
        <family val="1"/>
        <charset val="204"/>
      </rPr>
      <t>12</t>
    </r>
  </si>
  <si>
    <r>
      <t xml:space="preserve">ремонт межпанельных стыков, кв.3, </t>
    </r>
    <r>
      <rPr>
        <sz val="9"/>
        <rFont val="Times New Roman"/>
        <family val="1"/>
        <charset val="204"/>
      </rPr>
      <t>по осмотру под.2,3,4,5</t>
    </r>
  </si>
  <si>
    <r>
      <t>ремонт межпанельных стыков, кв</t>
    </r>
    <r>
      <rPr>
        <sz val="9"/>
        <rFont val="Times New Roman"/>
        <family val="1"/>
        <charset val="204"/>
      </rPr>
      <t>.45</t>
    </r>
    <r>
      <rPr>
        <sz val="9"/>
        <color rgb="FFFF0000"/>
        <rFont val="Times New Roman"/>
        <family val="1"/>
        <charset val="204"/>
      </rPr>
      <t>, 69,</t>
    </r>
    <r>
      <rPr>
        <sz val="9"/>
        <rFont val="Times New Roman"/>
        <family val="1"/>
        <charset val="204"/>
      </rPr>
      <t>77,88</t>
    </r>
    <r>
      <rPr>
        <sz val="9"/>
        <color rgb="FFFF0000"/>
        <rFont val="Times New Roman"/>
        <family val="1"/>
        <charset val="204"/>
      </rPr>
      <t>, 105,</t>
    </r>
    <r>
      <rPr>
        <sz val="9"/>
        <rFont val="Times New Roman"/>
        <family val="1"/>
        <charset val="204"/>
      </rPr>
      <t>112,125,132</t>
    </r>
  </si>
  <si>
    <r>
      <t>ремонт межпанельных стыков, кв.</t>
    </r>
    <r>
      <rPr>
        <sz val="9"/>
        <rFont val="Times New Roman"/>
        <family val="1"/>
        <charset val="204"/>
      </rPr>
      <t>33,137,141,112,133</t>
    </r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</si>
  <si>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кв.44, по осмотру</t>
    </r>
  </si>
  <si>
    <r>
      <t>ремонт межпанельных стыков,</t>
    </r>
    <r>
      <rPr>
        <sz val="9"/>
        <rFont val="Times New Roman"/>
        <family val="1"/>
        <charset val="204"/>
      </rPr>
      <t xml:space="preserve"> кв. 56,72, по осмотру</t>
    </r>
  </si>
  <si>
    <r>
      <t>ремонт межпанельных стыков, кв.</t>
    </r>
    <r>
      <rPr>
        <sz val="9"/>
        <rFont val="Times New Roman"/>
        <family val="1"/>
        <charset val="204"/>
      </rPr>
      <t>33,36,43,50,51</t>
    </r>
    <r>
      <rPr>
        <sz val="9"/>
        <color rgb="FFFF0000"/>
        <rFont val="Times New Roman"/>
        <family val="1"/>
        <charset val="204"/>
      </rPr>
      <t>,68,</t>
    </r>
    <r>
      <rPr>
        <sz val="9"/>
        <rFont val="Times New Roman"/>
        <family val="1"/>
        <charset val="204"/>
      </rPr>
      <t>72,93,96,140,143, по осмотру под.1,4,6,9</t>
    </r>
  </si>
  <si>
    <r>
      <t>ремонт межпанельных стыков, кв.12,</t>
    </r>
    <r>
      <rPr>
        <sz val="9"/>
        <rFont val="Times New Roman"/>
        <family val="1"/>
        <charset val="204"/>
      </rPr>
      <t>17,22,28,31,32,39,72,76,78,79,85,87,90 по осмотру под.2</t>
    </r>
  </si>
  <si>
    <r>
      <t>ремонт межпанельных стыков, кв.</t>
    </r>
    <r>
      <rPr>
        <sz val="9"/>
        <rFont val="Times New Roman"/>
        <family val="1"/>
        <charset val="204"/>
      </rPr>
      <t>2,4,</t>
    </r>
    <r>
      <rPr>
        <sz val="9"/>
        <color rgb="FFFF0000"/>
        <rFont val="Times New Roman"/>
        <family val="1"/>
        <charset val="204"/>
      </rPr>
      <t>20,104</t>
    </r>
  </si>
  <si>
    <t>Виды работ</t>
  </si>
  <si>
    <t>Объем работ</t>
  </si>
  <si>
    <t>Плановая стоимость работ (руб.)</t>
  </si>
  <si>
    <t>Фактическое выполнение</t>
  </si>
  <si>
    <t>Отклонение от плана</t>
  </si>
  <si>
    <t>ПРОФСОЮЗОВ  42</t>
  </si>
  <si>
    <t>Ед. измер.</t>
  </si>
  <si>
    <r>
      <t>ремонт межпанельных стыков, кв.</t>
    </r>
    <r>
      <rPr>
        <sz val="9"/>
        <rFont val="Times New Roman"/>
        <family val="1"/>
        <charset val="204"/>
      </rPr>
      <t>148,</t>
    </r>
    <r>
      <rPr>
        <sz val="9"/>
        <color rgb="FFFF0000"/>
        <rFont val="Times New Roman"/>
        <family val="1"/>
        <charset val="204"/>
      </rPr>
      <t>177</t>
    </r>
  </si>
  <si>
    <t>кв.177 -  6 м.п.</t>
  </si>
  <si>
    <t>ремонт плиты на лоджии кв. 115-116</t>
  </si>
  <si>
    <t>14</t>
  </si>
  <si>
    <t>восстановление плиты на лоджии кв.115-116</t>
  </si>
  <si>
    <t>ремонт  балконного  козырька, кв.108</t>
  </si>
  <si>
    <t>96-28-50 Юр. Пав.</t>
  </si>
  <si>
    <t>кв.88 долг, пени, кв.35 -17 п.м доп.</t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</si>
  <si>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</t>
    </r>
    <r>
      <rPr>
        <sz val="9"/>
        <color rgb="FFFF0000"/>
        <rFont val="Times New Roman"/>
        <family val="1"/>
        <charset val="204"/>
      </rPr>
      <t>.33</t>
    </r>
    <r>
      <rPr>
        <sz val="9"/>
        <rFont val="Times New Roman"/>
        <family val="1"/>
        <charset val="204"/>
      </rPr>
      <t>,88,120, по осмотру</t>
    </r>
  </si>
  <si>
    <t>кв. 84 -12 п.м</t>
  </si>
  <si>
    <r>
      <t xml:space="preserve">ремонт межпанельных стыков  </t>
    </r>
    <r>
      <rPr>
        <sz val="9"/>
        <rFont val="Times New Roman"/>
        <family val="1"/>
        <charset val="204"/>
      </rPr>
      <t xml:space="preserve">по осмотру, </t>
    </r>
    <r>
      <rPr>
        <sz val="9"/>
        <color rgb="FFFF0000"/>
        <rFont val="Times New Roman"/>
        <family val="1"/>
        <charset val="204"/>
      </rPr>
      <t>кв.84</t>
    </r>
  </si>
  <si>
    <r>
      <t>ремонт межпанельных стыков, кв.</t>
    </r>
    <r>
      <rPr>
        <sz val="9"/>
        <rFont val="Times New Roman"/>
        <family val="1"/>
        <charset val="204"/>
      </rPr>
      <t>160,163,168</t>
    </r>
    <r>
      <rPr>
        <sz val="9"/>
        <color rgb="FFFF0000"/>
        <rFont val="Times New Roman"/>
        <family val="1"/>
        <charset val="204"/>
      </rPr>
      <t xml:space="preserve">, </t>
    </r>
    <r>
      <rPr>
        <b/>
        <u/>
        <sz val="9"/>
        <color rgb="FFFF0000"/>
        <rFont val="Times New Roman"/>
        <family val="1"/>
        <charset val="204"/>
      </rPr>
      <t xml:space="preserve">116, </t>
    </r>
    <r>
      <rPr>
        <sz val="9"/>
        <rFont val="Times New Roman"/>
        <family val="1"/>
        <charset val="204"/>
      </rPr>
      <t xml:space="preserve">по осмотру под.1,3,4,6,12, </t>
    </r>
    <r>
      <rPr>
        <sz val="9"/>
        <color rgb="FFFF0000"/>
        <rFont val="Times New Roman"/>
        <family val="1"/>
        <charset val="204"/>
      </rPr>
      <t>кв.160</t>
    </r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</si>
  <si>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кв.26, 28, 56,70</t>
    </r>
    <r>
      <rPr>
        <sz val="9"/>
        <color rgb="FFFF0000"/>
        <rFont val="Times New Roman"/>
        <family val="1"/>
        <charset val="204"/>
      </rPr>
      <t>,11,55</t>
    </r>
  </si>
  <si>
    <t>кв.11-15,5 доп,кв.55-15,5 доп.</t>
  </si>
  <si>
    <r>
      <t>ремонт балконного козырька, кв.</t>
    </r>
    <r>
      <rPr>
        <sz val="9"/>
        <color rgb="FF00B050"/>
        <rFont val="Times New Roman"/>
        <family val="1"/>
        <charset val="204"/>
      </rPr>
      <t>228,</t>
    </r>
    <r>
      <rPr>
        <sz val="9"/>
        <color rgb="FFFF0000"/>
        <rFont val="Times New Roman"/>
        <family val="1"/>
        <charset val="204"/>
      </rPr>
      <t>20,31,201</t>
    </r>
  </si>
  <si>
    <t>131-6 п.м,  33-26 п.м</t>
  </si>
  <si>
    <t>сайдинг 1,2 под</t>
  </si>
  <si>
    <r>
      <rPr>
        <sz val="9"/>
        <rFont val="Times New Roman"/>
        <family val="1"/>
        <charset val="204"/>
      </rPr>
      <t>ремонт тамбура (приобретение матералов), под.1,3</t>
    </r>
    <r>
      <rPr>
        <sz val="9"/>
        <color rgb="FFFF0000"/>
        <rFont val="Times New Roman"/>
        <family val="1"/>
        <charset val="204"/>
      </rPr>
      <t>,4,6</t>
    </r>
  </si>
  <si>
    <r>
      <rPr>
        <sz val="9"/>
        <rFont val="Times New Roman"/>
        <family val="1"/>
        <charset val="204"/>
      </rPr>
      <t>ремонт тамбура (приобретение матералов), под.2,3,</t>
    </r>
    <r>
      <rPr>
        <sz val="9"/>
        <color rgb="FFFF0000"/>
        <rFont val="Times New Roman"/>
        <family val="1"/>
        <charset val="204"/>
      </rPr>
      <t>4,5,6</t>
    </r>
  </si>
  <si>
    <r>
      <t xml:space="preserve">ремонт межпанельных стыков </t>
    </r>
    <r>
      <rPr>
        <sz val="9"/>
        <rFont val="Times New Roman"/>
        <family val="1"/>
        <charset val="204"/>
      </rPr>
      <t>по осмотру, кв.</t>
    </r>
  </si>
  <si>
    <r>
      <t>ремонт межпанельных стыков, кв.</t>
    </r>
    <r>
      <rPr>
        <sz val="9"/>
        <rFont val="Times New Roman"/>
        <family val="1"/>
        <charset val="204"/>
      </rPr>
      <t>97, по осмотру,</t>
    </r>
    <r>
      <rPr>
        <sz val="9"/>
        <color rgb="FFFF0000"/>
        <rFont val="Times New Roman"/>
        <family val="1"/>
        <charset val="204"/>
      </rPr>
      <t>131, 33,67</t>
    </r>
  </si>
  <si>
    <t>ремонт межпанельных стыков, кв.186,84,51</t>
  </si>
  <si>
    <t>ремонт кровли, кв.138,139,140,68</t>
  </si>
  <si>
    <r>
      <t>ремонт межпанельных стыков, кв.</t>
    </r>
    <r>
      <rPr>
        <sz val="9"/>
        <rFont val="Times New Roman"/>
        <family val="1"/>
        <charset val="204"/>
      </rPr>
      <t xml:space="preserve"> </t>
    </r>
    <r>
      <rPr>
        <sz val="9"/>
        <color rgb="FFFF0000"/>
        <rFont val="Times New Roman"/>
        <family val="1"/>
        <charset val="204"/>
      </rPr>
      <t>28</t>
    </r>
    <r>
      <rPr>
        <sz val="9"/>
        <rFont val="Times New Roman"/>
        <family val="1"/>
        <charset val="204"/>
      </rPr>
      <t>,41,42,</t>
    </r>
    <r>
      <rPr>
        <sz val="9"/>
        <color rgb="FFFF0000"/>
        <rFont val="Times New Roman"/>
        <family val="1"/>
        <charset val="204"/>
      </rPr>
      <t>52</t>
    </r>
    <r>
      <rPr>
        <b/>
        <sz val="9"/>
        <color rgb="FF00B050"/>
        <rFont val="Times New Roman"/>
        <family val="1"/>
        <charset val="204"/>
      </rPr>
      <t xml:space="preserve">,73, </t>
    </r>
    <r>
      <rPr>
        <b/>
        <sz val="9"/>
        <rFont val="Times New Roman"/>
        <family val="1"/>
        <charset val="204"/>
      </rPr>
      <t>по осмотру</t>
    </r>
  </si>
  <si>
    <t>кв.28 -60 п.м.,52-?</t>
  </si>
  <si>
    <t>ремонт межпанельных стыков, кв.106,36</t>
  </si>
  <si>
    <t>ремонт балконного козырька, кв.41,27,69</t>
  </si>
  <si>
    <t>ремонт кровли, кв.13,40</t>
  </si>
  <si>
    <t>ремонт межпанельных стыков, кв.20,46,48,53,67,129,135,149,177,202,205,219,244,249,272,293,312,218</t>
  </si>
  <si>
    <r>
      <rPr>
        <sz val="9"/>
        <rFont val="Times New Roman"/>
        <family val="1"/>
        <charset val="204"/>
      </rPr>
      <t>ремонт межпанельных стыков, кв.41,130,</t>
    </r>
    <r>
      <rPr>
        <sz val="9"/>
        <color rgb="FFFF0000"/>
        <rFont val="Times New Roman"/>
        <family val="1"/>
        <charset val="204"/>
      </rPr>
      <t>32</t>
    </r>
  </si>
  <si>
    <t>Козырьки</t>
  </si>
  <si>
    <t>ремонт балконного козырька, кв. 69,143,106,34</t>
  </si>
  <si>
    <r>
      <t>ремонт балконного козырька,    кв.</t>
    </r>
    <r>
      <rPr>
        <sz val="9"/>
        <color rgb="FF00B050"/>
        <rFont val="Times New Roman"/>
        <family val="1"/>
        <charset val="204"/>
      </rPr>
      <t>228,</t>
    </r>
    <r>
      <rPr>
        <sz val="9"/>
        <color rgb="FFFF0000"/>
        <rFont val="Times New Roman"/>
        <family val="1"/>
        <charset val="204"/>
      </rPr>
      <t>20,31   (131 ??),201,300</t>
    </r>
  </si>
  <si>
    <t>ремонт балконного козырька, кв.27</t>
  </si>
  <si>
    <t>ремонт балконного козырька кв. 82</t>
  </si>
  <si>
    <t>в присутствии собственника</t>
  </si>
  <si>
    <t>ремонт  балконного  козырька, кв. 108</t>
  </si>
  <si>
    <t>ремонт балконного козырька, кв. 61,48</t>
  </si>
  <si>
    <r>
      <t xml:space="preserve">ремонт межпанельных стыков </t>
    </r>
    <r>
      <rPr>
        <sz val="9"/>
        <rFont val="Times New Roman"/>
        <family val="1"/>
        <charset val="204"/>
      </rPr>
      <t>по осмотру</t>
    </r>
    <r>
      <rPr>
        <sz val="9"/>
        <color rgb="FFFF0000"/>
        <rFont val="Times New Roman"/>
        <family val="1"/>
        <charset val="204"/>
      </rPr>
      <t>, кв.19,48</t>
    </r>
  </si>
  <si>
    <t>кв.19 - 12 п.м. -доп.,кв.48-11 п.м</t>
  </si>
  <si>
    <t>Плановая сумма затрат, руб.</t>
  </si>
  <si>
    <t>ремонт фасада, кв.81</t>
  </si>
  <si>
    <t>подвальная разводка, под.1,2</t>
  </si>
  <si>
    <t>ремонт балконного козырька, кв. 69,106,143,34,36,108,71,107</t>
  </si>
  <si>
    <t>ремонт балконного козырька, кв.20, 131,201,228,300</t>
  </si>
  <si>
    <t>ремонт гидроизоляции балконного козырька, кв.26,61,62,13,47 (2 шт.)</t>
  </si>
  <si>
    <t>ремонт балконного козырька, кв.41,27,69,55</t>
  </si>
  <si>
    <t>ремонт балконного козырька, кв.149,36,150 (2 шт.)</t>
  </si>
  <si>
    <t>ремонт балконного козырька, кв. 27,28</t>
  </si>
  <si>
    <t>ремонт балконного козырька, кв. 34</t>
  </si>
  <si>
    <t>ремонт балконного козырька, кв.82,56</t>
  </si>
  <si>
    <t>ремонт балконного козырька кв. 35,142</t>
  </si>
  <si>
    <t>ремонт балконного козырька кв. 102,140</t>
  </si>
  <si>
    <t>ремонт балконного козырька кв. 47 (2 шт.),102</t>
  </si>
  <si>
    <t>ремонт  балконного  козырька, кв. 27,45</t>
  </si>
  <si>
    <t>ремонт балконного козырька кв. 108,177</t>
  </si>
  <si>
    <t>ремонт балконного козырька кв. 70</t>
  </si>
  <si>
    <t>ремонт балконного козырька, кв .33,111</t>
  </si>
  <si>
    <t>ремонт балконного козырька, кв.109</t>
  </si>
  <si>
    <t>ремонт балконного козырька, кв.108,103,106,109,110</t>
  </si>
  <si>
    <t>ремонт балконного козырька, кв.14,26,41,54</t>
  </si>
  <si>
    <t>ремонт балконного козырька, кв.60</t>
  </si>
  <si>
    <t>ремонт балконного козырька, кв. 94,107</t>
  </si>
  <si>
    <t>ремонт балконного козырька, кв.73,75</t>
  </si>
  <si>
    <t>ремонт межпанельных стыков, кв.35,70,88,120, по осмотру</t>
  </si>
  <si>
    <t>ремонт межпанельных стыков, кв.45, 69,77,88, 105,112,125,132,140</t>
  </si>
  <si>
    <t>ремонт межпанельных стыков, кв.3, по осмотру под.2,3,4,5</t>
  </si>
  <si>
    <t>ремонт межпанельных стыков, кв.2,4,20,104, по осмотру</t>
  </si>
  <si>
    <t>ремонт межпанельных стыков, кв.97, по осмотру,33,67,131</t>
  </si>
  <si>
    <t>ремонт балконного козырька, кв.33 (2 шт.),34,36</t>
  </si>
  <si>
    <t>ремонт межпанельных стыков, кв.148,176,177,180,164</t>
  </si>
  <si>
    <t>ремонт межпанельных стыков кв. 15, по осмотру,102</t>
  </si>
  <si>
    <t>Вентиляция</t>
  </si>
  <si>
    <t>ремонт межпанельных стыков, кв.1,15,27,19,30,38,32,48,99, по осмотру под.7</t>
  </si>
  <si>
    <t>ремонт межпанельных стыков, кв.26,54,41</t>
  </si>
  <si>
    <t>ремонт межпанельных стыков, кв.75,73</t>
  </si>
  <si>
    <t>ремонт межпанельных стыков, кв.18,93,86</t>
  </si>
  <si>
    <t>ремонт межпанельных стыков, кв. 171,178,127,23,58,172,89,27</t>
  </si>
  <si>
    <t>детская площажка снять и заменить песок</t>
  </si>
  <si>
    <t>кв.77</t>
  </si>
  <si>
    <t>ремонт парапета акты до работ с фото, обоснование и т.д.</t>
  </si>
  <si>
    <t>Канализационная разводка, после ремонта 1 подъезда</t>
  </si>
  <si>
    <t>ремонт межпанельных стыков, кв.36,105,106,140</t>
  </si>
  <si>
    <t>ремонт межпанельных стыков, кв.26,28,42,41,52,90,  по осмотру,92</t>
  </si>
  <si>
    <t>ремонт межпанельных стыков, кв.11</t>
  </si>
  <si>
    <t>ремонт балконного козырька, кв. 61,48,46</t>
  </si>
  <si>
    <t>ремонт межпанельных стыков  по осмотру (МОП), кв.19,48,118</t>
  </si>
  <si>
    <t>ремонт межпанельных стыков  по осмотру (МОП),кв.84</t>
  </si>
  <si>
    <t>ремонт межпанельных стыков, кв.116,160,163,168, по осмотру под.1,3,4,6,12</t>
  </si>
  <si>
    <t>ремонт межпанельных стыков, кв.10,11,55,26, 28, 56,70,</t>
  </si>
  <si>
    <t>ремонт межпанельных стыков, кв.41,130,32</t>
  </si>
  <si>
    <t>замена подвальной разводки канализации, под.2,5</t>
  </si>
  <si>
    <t>монтаж в работе 09.11.</t>
  </si>
  <si>
    <t>не начали 09.11</t>
  </si>
  <si>
    <t>Плановая сумма:</t>
  </si>
  <si>
    <t>Руководствуясь  ст. 44 Жилищного кодекса РФ, "Правилами содержания общего имущества в многоквартирном доме" (Постановление Правительства РФ №491 от 13.08.2006 г.) управляющая компания предлагает рассмотреть на общем собрании собственников помещений многоквартирного дома принять решение  о проведении текущего ремонта, определить объем и характеристики работ, источники финансирования, исполнителя работ.</t>
  </si>
  <si>
    <t>Рекомендуемый перечень работ:</t>
  </si>
  <si>
    <t>1.</t>
  </si>
  <si>
    <t>Ремонт мест общего пользования</t>
  </si>
  <si>
    <t>2.</t>
  </si>
  <si>
    <t>Замена входных групп (металлическая дверь), под.1,2,3,4</t>
  </si>
  <si>
    <t>3.</t>
  </si>
  <si>
    <t>Резерв:</t>
  </si>
  <si>
    <t>План на 2018 г.</t>
  </si>
  <si>
    <t xml:space="preserve">ремонта общего имущества  МКД  находящихся в управлении ООО "Уют"                                                                                                                                                                                   за счет средств поступающих по статье "Содержание жилых помещений" </t>
  </si>
  <si>
    <t xml:space="preserve">Плановый период выполнения работ  </t>
  </si>
  <si>
    <t>май-август</t>
  </si>
  <si>
    <t>ремонт межпанельных стыков, кв.12</t>
  </si>
  <si>
    <t>Ремонт (замена) почтовых ящиков</t>
  </si>
  <si>
    <t xml:space="preserve">Способ формирования фонда капитального ремонта может быть изменен в любое время на основании решения общего собрания собственников помещений в многоквартирном доме. Сформировав специальный счет на доме, собственники вправе самостоятельно корректировать программу проведения работ и расставлять приоритеты в выполнении отдельных видов работ. </t>
  </si>
  <si>
    <t>Требуется решить вопрос по первоочередному ремонту фасада (капитальный ремонт).</t>
  </si>
  <si>
    <t>Согласно информации Югорского фонда капитального  ремонта работы по ремонту  фасада в МКД №42 по ул. Профсоюзов  запланированы на 2041 г.</t>
  </si>
  <si>
    <t>План сформирован в соответствии с    Договором управления МКД (утв. решением общего собрания собственников 26.09.2014 г), постановлением Администрации города Сургута № 5867 от 13.08.2013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Корректировка будет выполнена при выявлении неотложных работ, результатам весеннего осмотра 2018 г., обращениям граждан.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</si>
</sst>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4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name val="Times New Roman CYR"/>
      <family val="1"/>
      <charset val="204"/>
    </font>
    <font>
      <sz val="8"/>
      <name val="Times New Roman"/>
      <family val="1"/>
      <charset val="204"/>
    </font>
    <font>
      <b/>
      <sz val="10"/>
      <name val="Times New Roman CYR"/>
      <charset val="204"/>
    </font>
    <font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 CYR"/>
      <family val="1"/>
      <charset val="204"/>
    </font>
    <font>
      <b/>
      <sz val="9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373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2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wrapText="1"/>
    </xf>
    <xf numFmtId="2" fontId="3" fillId="0" borderId="2" xfId="1" applyNumberFormat="1" applyFont="1" applyBorder="1" applyAlignment="1">
      <alignment horizont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wrapText="1"/>
    </xf>
    <xf numFmtId="0" fontId="3" fillId="0" borderId="3" xfId="1" applyFont="1" applyBorder="1" applyAlignment="1">
      <alignment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2" fontId="3" fillId="0" borderId="3" xfId="1" applyNumberFormat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left" vertical="center" wrapText="1"/>
    </xf>
    <xf numFmtId="49" fontId="3" fillId="2" borderId="2" xfId="1" applyNumberFormat="1" applyFont="1" applyFill="1" applyBorder="1" applyAlignment="1">
      <alignment horizont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 wrapText="1"/>
    </xf>
    <xf numFmtId="2" fontId="4" fillId="2" borderId="1" xfId="1" applyNumberFormat="1" applyFont="1" applyFill="1" applyBorder="1" applyAlignment="1">
      <alignment horizontal="center" wrapText="1"/>
    </xf>
    <xf numFmtId="0" fontId="3" fillId="2" borderId="3" xfId="1" applyFont="1" applyFill="1" applyBorder="1" applyAlignment="1">
      <alignment wrapText="1"/>
    </xf>
    <xf numFmtId="2" fontId="3" fillId="2" borderId="3" xfId="1" applyNumberFormat="1" applyFont="1" applyFill="1" applyBorder="1" applyAlignment="1">
      <alignment wrapText="1"/>
    </xf>
    <xf numFmtId="2" fontId="3" fillId="2" borderId="1" xfId="1" applyNumberFormat="1" applyFont="1" applyFill="1" applyBorder="1" applyAlignment="1">
      <alignment horizont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wrapText="1"/>
    </xf>
    <xf numFmtId="0" fontId="3" fillId="2" borderId="4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wrapText="1"/>
    </xf>
    <xf numFmtId="0" fontId="4" fillId="2" borderId="4" xfId="1" applyFont="1" applyFill="1" applyBorder="1" applyAlignment="1">
      <alignment wrapText="1"/>
    </xf>
    <xf numFmtId="0" fontId="4" fillId="2" borderId="1" xfId="1" applyFont="1" applyFill="1" applyBorder="1" applyAlignment="1">
      <alignment wrapText="1"/>
    </xf>
    <xf numFmtId="0" fontId="4" fillId="2" borderId="3" xfId="1" applyFont="1" applyFill="1" applyBorder="1" applyAlignment="1">
      <alignment wrapText="1"/>
    </xf>
    <xf numFmtId="0" fontId="4" fillId="2" borderId="3" xfId="1" applyFont="1" applyFill="1" applyBorder="1" applyAlignment="1">
      <alignment vertical="center" wrapText="1"/>
    </xf>
    <xf numFmtId="2" fontId="4" fillId="2" borderId="3" xfId="1" applyNumberFormat="1" applyFont="1" applyFill="1" applyBorder="1" applyAlignment="1">
      <alignment vertical="center" wrapText="1"/>
    </xf>
    <xf numFmtId="2" fontId="3" fillId="2" borderId="3" xfId="1" applyNumberFormat="1" applyFont="1" applyFill="1" applyBorder="1" applyAlignment="1">
      <alignment vertical="center" wrapText="1"/>
    </xf>
    <xf numFmtId="2" fontId="3" fillId="0" borderId="2" xfId="1" applyNumberFormat="1" applyFont="1" applyBorder="1" applyAlignment="1">
      <alignment horizontal="left" vertical="center" wrapText="1"/>
    </xf>
    <xf numFmtId="14" fontId="9" fillId="0" borderId="0" xfId="1" applyNumberFormat="1" applyFont="1" applyAlignment="1">
      <alignment horizontal="center"/>
    </xf>
    <xf numFmtId="0" fontId="3" fillId="3" borderId="2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 shrinkToFit="1"/>
    </xf>
    <xf numFmtId="0" fontId="3" fillId="2" borderId="4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2" fontId="3" fillId="3" borderId="3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1" fillId="0" borderId="0" xfId="1" applyNumberFormat="1"/>
    <xf numFmtId="43" fontId="4" fillId="0" borderId="1" xfId="2" applyFont="1" applyBorder="1" applyAlignment="1">
      <alignment horizontal="center" vertical="center" wrapText="1"/>
    </xf>
    <xf numFmtId="43" fontId="4" fillId="0" borderId="2" xfId="2" applyFont="1" applyBorder="1" applyAlignment="1">
      <alignment horizontal="center" vertical="center" wrapText="1"/>
    </xf>
    <xf numFmtId="43" fontId="3" fillId="0" borderId="1" xfId="2" applyFont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0" borderId="1" xfId="2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0" fillId="0" borderId="0" xfId="2" applyFont="1"/>
    <xf numFmtId="43" fontId="4" fillId="2" borderId="2" xfId="2" applyFont="1" applyFill="1" applyBorder="1" applyAlignment="1">
      <alignment horizontal="center" vertical="center" wrapText="1"/>
    </xf>
    <xf numFmtId="43" fontId="4" fillId="4" borderId="1" xfId="2" applyFont="1" applyFill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 wrapText="1"/>
    </xf>
    <xf numFmtId="43" fontId="4" fillId="3" borderId="1" xfId="2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5" fillId="0" borderId="0" xfId="0" applyFont="1"/>
    <xf numFmtId="0" fontId="12" fillId="3" borderId="1" xfId="1" applyFont="1" applyFill="1" applyBorder="1" applyAlignment="1">
      <alignment horizontal="center" vertical="center" wrapText="1"/>
    </xf>
    <xf numFmtId="0" fontId="14" fillId="3" borderId="0" xfId="0" applyFont="1" applyFill="1"/>
    <xf numFmtId="43" fontId="0" fillId="0" borderId="0" xfId="0" applyNumberFormat="1"/>
    <xf numFmtId="2" fontId="12" fillId="0" borderId="3" xfId="1" applyNumberFormat="1" applyFont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/>
    </xf>
    <xf numFmtId="2" fontId="3" fillId="5" borderId="1" xfId="1" applyNumberFormat="1" applyFont="1" applyFill="1" applyBorder="1" applyAlignment="1">
      <alignment horizontal="center" vertical="center" wrapText="1"/>
    </xf>
    <xf numFmtId="43" fontId="4" fillId="5" borderId="1" xfId="2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horizontal="left" vertical="center" wrapText="1"/>
    </xf>
    <xf numFmtId="2" fontId="3" fillId="5" borderId="1" xfId="1" applyNumberFormat="1" applyFont="1" applyFill="1" applyBorder="1" applyAlignment="1">
      <alignment horizontal="center" wrapText="1"/>
    </xf>
    <xf numFmtId="0" fontId="0" fillId="3" borderId="0" xfId="0" applyFill="1"/>
    <xf numFmtId="49" fontId="3" fillId="5" borderId="1" xfId="0" applyNumberFormat="1" applyFont="1" applyFill="1" applyBorder="1" applyAlignment="1">
      <alignment horizontal="center" vertical="top" wrapText="1"/>
    </xf>
    <xf numFmtId="49" fontId="1" fillId="0" borderId="0" xfId="1" applyNumberFormat="1"/>
    <xf numFmtId="49" fontId="3" fillId="2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6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top" wrapText="1"/>
    </xf>
    <xf numFmtId="49" fontId="3" fillId="6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/>
    </xf>
    <xf numFmtId="2" fontId="3" fillId="6" borderId="1" xfId="1" applyNumberFormat="1" applyFont="1" applyFill="1" applyBorder="1" applyAlignment="1">
      <alignment horizontal="center" vertical="center" wrapText="1"/>
    </xf>
    <xf numFmtId="43" fontId="4" fillId="6" borderId="1" xfId="2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0" fillId="6" borderId="0" xfId="0" applyFill="1"/>
    <xf numFmtId="49" fontId="3" fillId="5" borderId="1" xfId="0" applyNumberFormat="1" applyFont="1" applyFill="1" applyBorder="1" applyAlignment="1">
      <alignment vertical="top" wrapText="1"/>
    </xf>
    <xf numFmtId="0" fontId="3" fillId="5" borderId="6" xfId="1" applyFont="1" applyFill="1" applyBorder="1" applyAlignment="1">
      <alignment horizontal="center" vertical="center" wrapText="1"/>
    </xf>
    <xf numFmtId="0" fontId="17" fillId="0" borderId="0" xfId="0" applyFont="1"/>
    <xf numFmtId="2" fontId="3" fillId="5" borderId="1" xfId="0" applyNumberFormat="1" applyFont="1" applyFill="1" applyBorder="1" applyAlignment="1">
      <alignment horizontal="center"/>
    </xf>
    <xf numFmtId="0" fontId="12" fillId="0" borderId="3" xfId="1" applyFont="1" applyBorder="1" applyAlignment="1">
      <alignment wrapText="1"/>
    </xf>
    <xf numFmtId="2" fontId="3" fillId="3" borderId="0" xfId="1" applyNumberFormat="1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21" fillId="0" borderId="0" xfId="0" applyFont="1"/>
    <xf numFmtId="164" fontId="21" fillId="0" borderId="0" xfId="0" applyNumberFormat="1" applyFont="1" applyAlignment="1">
      <alignment horizontal="center" vertical="center"/>
    </xf>
    <xf numFmtId="43" fontId="3" fillId="3" borderId="0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7" fillId="3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2" fontId="12" fillId="0" borderId="3" xfId="1" applyNumberFormat="1" applyFont="1" applyBorder="1" applyAlignment="1">
      <alignment wrapText="1"/>
    </xf>
    <xf numFmtId="2" fontId="12" fillId="3" borderId="3" xfId="1" applyNumberFormat="1" applyFont="1" applyFill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43" fontId="3" fillId="2" borderId="4" xfId="1" applyNumberFormat="1" applyFont="1" applyFill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left" vertical="center" wrapText="1"/>
    </xf>
    <xf numFmtId="43" fontId="3" fillId="0" borderId="1" xfId="1" applyNumberFormat="1" applyFont="1" applyFill="1" applyBorder="1" applyAlignment="1">
      <alignment horizontal="center" vertical="center" wrapText="1"/>
    </xf>
    <xf numFmtId="43" fontId="3" fillId="4" borderId="1" xfId="1" applyNumberFormat="1" applyFont="1" applyFill="1" applyBorder="1" applyAlignment="1">
      <alignment horizontal="left" vertical="center" wrapText="1"/>
    </xf>
    <xf numFmtId="43" fontId="3" fillId="0" borderId="1" xfId="2" applyNumberFormat="1" applyFont="1" applyBorder="1" applyAlignment="1">
      <alignment horizontal="center" vertical="center" wrapText="1"/>
    </xf>
    <xf numFmtId="43" fontId="4" fillId="2" borderId="1" xfId="1" applyNumberFormat="1" applyFont="1" applyFill="1" applyBorder="1" applyAlignment="1">
      <alignment horizontal="center" vertical="center" wrapText="1"/>
    </xf>
    <xf numFmtId="43" fontId="3" fillId="3" borderId="1" xfId="1" applyNumberFormat="1" applyFont="1" applyFill="1" applyBorder="1" applyAlignment="1">
      <alignment horizontal="center" vertical="center" wrapText="1"/>
    </xf>
    <xf numFmtId="43" fontId="8" fillId="0" borderId="1" xfId="2" applyNumberFormat="1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vertical="center" wrapText="1"/>
    </xf>
    <xf numFmtId="43" fontId="3" fillId="0" borderId="5" xfId="1" applyNumberFormat="1" applyFont="1" applyBorder="1" applyAlignment="1">
      <alignment horizontal="center" vertical="center" wrapText="1"/>
    </xf>
    <xf numFmtId="43" fontId="4" fillId="5" borderId="1" xfId="1" applyNumberFormat="1" applyFont="1" applyFill="1" applyBorder="1" applyAlignment="1">
      <alignment horizontal="center" vertical="center" wrapText="1"/>
    </xf>
    <xf numFmtId="43" fontId="3" fillId="0" borderId="5" xfId="2" applyNumberFormat="1" applyFont="1" applyBorder="1" applyAlignment="1">
      <alignment horizontal="center" vertical="center" wrapText="1"/>
    </xf>
    <xf numFmtId="43" fontId="4" fillId="6" borderId="1" xfId="1" applyNumberFormat="1" applyFont="1" applyFill="1" applyBorder="1" applyAlignment="1">
      <alignment horizontal="center" vertical="center" wrapText="1"/>
    </xf>
    <xf numFmtId="43" fontId="1" fillId="0" borderId="0" xfId="1" applyNumberFormat="1" applyAlignment="1">
      <alignment vertical="center"/>
    </xf>
    <xf numFmtId="43" fontId="12" fillId="0" borderId="1" xfId="1" applyNumberFormat="1" applyFont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vertical="center" wrapText="1"/>
    </xf>
    <xf numFmtId="43" fontId="4" fillId="2" borderId="1" xfId="1" applyNumberFormat="1" applyFont="1" applyFill="1" applyBorder="1" applyAlignment="1">
      <alignment vertical="center" wrapText="1"/>
    </xf>
    <xf numFmtId="43" fontId="0" fillId="0" borderId="0" xfId="0" applyNumberFormat="1" applyAlignment="1">
      <alignment vertical="center"/>
    </xf>
    <xf numFmtId="10" fontId="16" fillId="0" borderId="7" xfId="1" applyNumberFormat="1" applyFont="1" applyBorder="1" applyAlignment="1">
      <alignment horizontal="center" vertical="center" wrapText="1"/>
    </xf>
    <xf numFmtId="0" fontId="1" fillId="0" borderId="0" xfId="1" applyBorder="1"/>
    <xf numFmtId="0" fontId="12" fillId="3" borderId="3" xfId="1" applyFont="1" applyFill="1" applyBorder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0" fontId="7" fillId="7" borderId="8" xfId="1" applyFont="1" applyFill="1" applyBorder="1" applyAlignment="1"/>
    <xf numFmtId="0" fontId="7" fillId="7" borderId="5" xfId="1" applyFont="1" applyFill="1" applyBorder="1" applyAlignment="1"/>
    <xf numFmtId="49" fontId="7" fillId="7" borderId="5" xfId="1" applyNumberFormat="1" applyFont="1" applyFill="1" applyBorder="1" applyAlignment="1"/>
    <xf numFmtId="0" fontId="7" fillId="7" borderId="9" xfId="1" applyFont="1" applyFill="1" applyBorder="1" applyAlignment="1"/>
    <xf numFmtId="43" fontId="24" fillId="0" borderId="1" xfId="1" applyNumberFormat="1" applyFont="1" applyBorder="1" applyAlignment="1">
      <alignment horizontal="center" vertical="center" wrapText="1"/>
    </xf>
    <xf numFmtId="43" fontId="4" fillId="7" borderId="5" xfId="1" applyNumberFormat="1" applyFont="1" applyFill="1" applyBorder="1" applyAlignment="1">
      <alignment vertical="center" wrapText="1"/>
    </xf>
    <xf numFmtId="0" fontId="25" fillId="0" borderId="0" xfId="0" applyFont="1" applyAlignment="1">
      <alignment wrapText="1"/>
    </xf>
    <xf numFmtId="0" fontId="11" fillId="5" borderId="1" xfId="1" applyFont="1" applyFill="1" applyBorder="1" applyAlignment="1">
      <alignment vertical="center" wrapText="1"/>
    </xf>
    <xf numFmtId="43" fontId="11" fillId="5" borderId="1" xfId="1" applyNumberFormat="1" applyFont="1" applyFill="1" applyBorder="1" applyAlignment="1">
      <alignment horizontal="center" vertical="center" wrapText="1"/>
    </xf>
    <xf numFmtId="2" fontId="26" fillId="0" borderId="1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wrapTex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wrapText="1"/>
    </xf>
    <xf numFmtId="49" fontId="4" fillId="0" borderId="2" xfId="1" applyNumberFormat="1" applyFont="1" applyBorder="1" applyAlignment="1">
      <alignment horizontal="center" wrapText="1"/>
    </xf>
    <xf numFmtId="49" fontId="4" fillId="3" borderId="2" xfId="1" applyNumberFormat="1" applyFont="1" applyFill="1" applyBorder="1" applyAlignment="1">
      <alignment horizont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2" fontId="26" fillId="0" borderId="2" xfId="1" applyNumberFormat="1" applyFont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43" fontId="27" fillId="0" borderId="1" xfId="2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8" fillId="0" borderId="1" xfId="1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43" fontId="11" fillId="0" borderId="1" xfId="1" applyNumberFormat="1" applyFont="1" applyBorder="1" applyAlignment="1">
      <alignment horizontal="center" vertical="center" wrapText="1"/>
    </xf>
    <xf numFmtId="43" fontId="3" fillId="0" borderId="1" xfId="2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3" fontId="11" fillId="0" borderId="1" xfId="2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4" fillId="3" borderId="2" xfId="1" applyFont="1" applyFill="1" applyBorder="1" applyAlignment="1">
      <alignment horizontal="left" vertical="center" wrapText="1"/>
    </xf>
    <xf numFmtId="2" fontId="26" fillId="3" borderId="1" xfId="1" applyNumberFormat="1" applyFont="1" applyFill="1" applyBorder="1" applyAlignment="1">
      <alignment horizontal="center" vertical="center"/>
    </xf>
    <xf numFmtId="43" fontId="3" fillId="3" borderId="1" xfId="2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0" fontId="0" fillId="3" borderId="0" xfId="0" applyFont="1" applyFill="1"/>
    <xf numFmtId="0" fontId="0" fillId="3" borderId="0" xfId="0" applyFont="1" applyFill="1" applyAlignment="1">
      <alignment horizontal="center" vertical="center"/>
    </xf>
    <xf numFmtId="0" fontId="3" fillId="3" borderId="2" xfId="1" applyFont="1" applyFill="1" applyBorder="1" applyAlignment="1">
      <alignment wrapText="1"/>
    </xf>
    <xf numFmtId="0" fontId="4" fillId="3" borderId="4" xfId="1" applyFont="1" applyFill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center" vertical="center"/>
    </xf>
    <xf numFmtId="0" fontId="12" fillId="0" borderId="3" xfId="1" applyFont="1" applyBorder="1" applyAlignment="1">
      <alignment horizontal="left" vertical="center" wrapText="1"/>
    </xf>
    <xf numFmtId="2" fontId="12" fillId="8" borderId="3" xfId="1" applyNumberFormat="1" applyFont="1" applyFill="1" applyBorder="1" applyAlignment="1">
      <alignment vertical="center" wrapText="1"/>
    </xf>
    <xf numFmtId="0" fontId="12" fillId="8" borderId="1" xfId="1" applyFont="1" applyFill="1" applyBorder="1" applyAlignment="1">
      <alignment horizontal="center" vertical="center" wrapText="1"/>
    </xf>
    <xf numFmtId="2" fontId="12" fillId="0" borderId="3" xfId="1" applyNumberFormat="1" applyFont="1" applyBorder="1" applyAlignment="1">
      <alignment horizontal="center" wrapText="1"/>
    </xf>
    <xf numFmtId="2" fontId="12" fillId="0" borderId="3" xfId="1" applyNumberFormat="1" applyFont="1" applyBorder="1" applyAlignment="1">
      <alignment horizontal="left" vertical="center" wrapText="1"/>
    </xf>
    <xf numFmtId="0" fontId="11" fillId="0" borderId="3" xfId="1" applyFont="1" applyBorder="1" applyAlignment="1">
      <alignment wrapText="1"/>
    </xf>
    <xf numFmtId="0" fontId="1" fillId="0" borderId="0" xfId="1" applyAlignment="1">
      <alignment horizontal="center"/>
    </xf>
    <xf numFmtId="0" fontId="12" fillId="0" borderId="3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2" fontId="3" fillId="2" borderId="3" xfId="1" applyNumberFormat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2" fontId="12" fillId="3" borderId="3" xfId="1" applyNumberFormat="1" applyFont="1" applyFill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3" fillId="4" borderId="3" xfId="1" applyFont="1" applyFill="1" applyBorder="1" applyAlignment="1">
      <alignment horizontal="center" wrapText="1"/>
    </xf>
    <xf numFmtId="165" fontId="3" fillId="0" borderId="1" xfId="1" applyNumberFormat="1" applyFont="1" applyFill="1" applyBorder="1" applyAlignment="1">
      <alignment horizontal="center" wrapText="1"/>
    </xf>
    <xf numFmtId="165" fontId="3" fillId="0" borderId="3" xfId="1" applyNumberFormat="1" applyFont="1" applyFill="1" applyBorder="1" applyAlignment="1">
      <alignment horizontal="center" wrapText="1"/>
    </xf>
    <xf numFmtId="0" fontId="12" fillId="3" borderId="3" xfId="1" applyFont="1" applyFill="1" applyBorder="1" applyAlignment="1">
      <alignment horizontal="center" wrapText="1"/>
    </xf>
    <xf numFmtId="2" fontId="3" fillId="0" borderId="3" xfId="1" applyNumberFormat="1" applyFont="1" applyBorder="1" applyAlignment="1">
      <alignment horizontal="center" wrapText="1"/>
    </xf>
    <xf numFmtId="2" fontId="4" fillId="2" borderId="3" xfId="1" applyNumberFormat="1" applyFont="1" applyFill="1" applyBorder="1" applyAlignment="1">
      <alignment horizontal="center" wrapText="1"/>
    </xf>
    <xf numFmtId="2" fontId="3" fillId="3" borderId="3" xfId="1" applyNumberFormat="1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wrapText="1"/>
    </xf>
    <xf numFmtId="2" fontId="3" fillId="0" borderId="10" xfId="1" applyNumberFormat="1" applyFont="1" applyBorder="1" applyAlignment="1">
      <alignment horizontal="center" wrapText="1"/>
    </xf>
    <xf numFmtId="0" fontId="11" fillId="5" borderId="1" xfId="1" applyFont="1" applyFill="1" applyBorder="1" applyAlignment="1">
      <alignment horizontal="center" wrapText="1"/>
    </xf>
    <xf numFmtId="2" fontId="12" fillId="8" borderId="3" xfId="1" applyNumberFormat="1" applyFont="1" applyFill="1" applyBorder="1" applyAlignment="1">
      <alignment horizontal="center" wrapText="1"/>
    </xf>
    <xf numFmtId="0" fontId="4" fillId="6" borderId="1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2" fontId="3" fillId="0" borderId="3" xfId="1" applyNumberFormat="1" applyFont="1" applyBorder="1" applyAlignment="1">
      <alignment wrapText="1"/>
    </xf>
    <xf numFmtId="0" fontId="3" fillId="0" borderId="3" xfId="1" applyFont="1" applyBorder="1" applyAlignment="1">
      <alignment horizontal="left" wrapText="1"/>
    </xf>
    <xf numFmtId="0" fontId="4" fillId="0" borderId="4" xfId="1" applyFont="1" applyBorder="1" applyAlignment="1">
      <alignment wrapText="1"/>
    </xf>
    <xf numFmtId="2" fontId="3" fillId="0" borderId="3" xfId="1" applyNumberFormat="1" applyFont="1" applyBorder="1" applyAlignment="1">
      <alignment horizontal="left" vertical="center" wrapText="1"/>
    </xf>
    <xf numFmtId="43" fontId="4" fillId="3" borderId="2" xfId="1" applyNumberFormat="1" applyFont="1" applyFill="1" applyBorder="1" applyAlignment="1">
      <alignment horizontal="center" vertical="center" wrapText="1"/>
    </xf>
    <xf numFmtId="49" fontId="17" fillId="0" borderId="0" xfId="0" applyNumberFormat="1" applyFont="1"/>
    <xf numFmtId="0" fontId="17" fillId="0" borderId="0" xfId="0" applyFont="1" applyAlignment="1">
      <alignment horizontal="center"/>
    </xf>
    <xf numFmtId="43" fontId="17" fillId="0" borderId="0" xfId="0" applyNumberFormat="1" applyFont="1" applyAlignment="1">
      <alignment vertical="center"/>
    </xf>
    <xf numFmtId="2" fontId="11" fillId="3" borderId="3" xfId="1" applyNumberFormat="1" applyFont="1" applyFill="1" applyBorder="1" applyAlignment="1">
      <alignment vertical="center" wrapText="1"/>
    </xf>
    <xf numFmtId="0" fontId="4" fillId="7" borderId="11" xfId="1" applyFont="1" applyFill="1" applyBorder="1" applyAlignment="1">
      <alignment vertical="center" wrapText="1"/>
    </xf>
    <xf numFmtId="2" fontId="0" fillId="0" borderId="0" xfId="0" applyNumberFormat="1" applyAlignment="1">
      <alignment horizontal="center"/>
    </xf>
    <xf numFmtId="2" fontId="3" fillId="3" borderId="10" xfId="1" applyNumberFormat="1" applyFont="1" applyFill="1" applyBorder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horizontal="center" wrapText="1"/>
    </xf>
    <xf numFmtId="2" fontId="4" fillId="3" borderId="3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2" fontId="11" fillId="3" borderId="3" xfId="1" applyNumberFormat="1" applyFont="1" applyFill="1" applyBorder="1" applyAlignment="1">
      <alignment horizontal="center" wrapText="1"/>
    </xf>
    <xf numFmtId="43" fontId="11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  <xf numFmtId="2" fontId="12" fillId="8" borderId="3" xfId="1" applyNumberFormat="1" applyFont="1" applyFill="1" applyBorder="1" applyAlignment="1">
      <alignment wrapText="1"/>
    </xf>
    <xf numFmtId="0" fontId="12" fillId="3" borderId="0" xfId="1" applyFont="1" applyFill="1" applyBorder="1" applyAlignment="1">
      <alignment vertical="center" wrapText="1"/>
    </xf>
    <xf numFmtId="0" fontId="12" fillId="8" borderId="1" xfId="1" applyFont="1" applyFill="1" applyBorder="1" applyAlignment="1">
      <alignment vertical="center" wrapText="1"/>
    </xf>
    <xf numFmtId="0" fontId="12" fillId="3" borderId="1" xfId="1" applyFont="1" applyFill="1" applyBorder="1" applyAlignment="1">
      <alignment vertical="center" wrapText="1"/>
    </xf>
    <xf numFmtId="14" fontId="12" fillId="3" borderId="0" xfId="1" applyNumberFormat="1" applyFont="1" applyFill="1" applyBorder="1" applyAlignment="1">
      <alignment vertical="center" wrapText="1"/>
    </xf>
    <xf numFmtId="2" fontId="12" fillId="3" borderId="3" xfId="1" applyNumberFormat="1" applyFont="1" applyFill="1" applyBorder="1" applyAlignment="1">
      <alignment wrapText="1"/>
    </xf>
    <xf numFmtId="49" fontId="3" fillId="0" borderId="1" xfId="1" applyNumberFormat="1" applyFont="1" applyBorder="1" applyAlignment="1">
      <alignment horizontal="center" vertical="center" wrapText="1"/>
    </xf>
    <xf numFmtId="2" fontId="3" fillId="3" borderId="3" xfId="1" applyNumberFormat="1" applyFont="1" applyFill="1" applyBorder="1" applyAlignment="1">
      <alignment horizontal="center" vertical="center" wrapText="1"/>
    </xf>
    <xf numFmtId="2" fontId="11" fillId="0" borderId="3" xfId="1" applyNumberFormat="1" applyFont="1" applyBorder="1" applyAlignment="1">
      <alignment wrapText="1"/>
    </xf>
    <xf numFmtId="43" fontId="8" fillId="7" borderId="7" xfId="1" applyNumberFormat="1" applyFont="1" applyFill="1" applyBorder="1" applyAlignment="1">
      <alignment horizontal="left" wrapText="1"/>
    </xf>
    <xf numFmtId="2" fontId="3" fillId="3" borderId="11" xfId="1" applyNumberFormat="1" applyFont="1" applyFill="1" applyBorder="1" applyAlignment="1">
      <alignment horizont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2" fontId="12" fillId="0" borderId="3" xfId="1" applyNumberFormat="1" applyFont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49" fontId="4" fillId="3" borderId="1" xfId="1" applyNumberFormat="1" applyFont="1" applyFill="1" applyBorder="1" applyAlignment="1">
      <alignment horizontal="center" wrapText="1"/>
    </xf>
    <xf numFmtId="0" fontId="0" fillId="3" borderId="0" xfId="0" applyFont="1" applyFill="1" applyAlignment="1">
      <alignment horizontal="center"/>
    </xf>
    <xf numFmtId="2" fontId="12" fillId="3" borderId="3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43" fontId="36" fillId="0" borderId="1" xfId="1" applyNumberFormat="1" applyFont="1" applyBorder="1" applyAlignment="1">
      <alignment horizontal="center" vertical="center" wrapText="1"/>
    </xf>
    <xf numFmtId="2" fontId="12" fillId="3" borderId="3" xfId="1" applyNumberFormat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wrapText="1"/>
    </xf>
    <xf numFmtId="0" fontId="12" fillId="3" borderId="0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12" fillId="8" borderId="11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34" fillId="0" borderId="14" xfId="1" applyFont="1" applyBorder="1" applyAlignment="1">
      <alignment horizontal="left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3" fontId="8" fillId="7" borderId="10" xfId="1" applyNumberFormat="1" applyFont="1" applyFill="1" applyBorder="1" applyAlignment="1">
      <alignment horizontal="left" wrapText="1"/>
    </xf>
    <xf numFmtId="43" fontId="8" fillId="7" borderId="15" xfId="1" applyNumberFormat="1" applyFont="1" applyFill="1" applyBorder="1" applyAlignment="1">
      <alignment horizontal="left" wrapText="1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43" fontId="8" fillId="7" borderId="10" xfId="1" applyNumberFormat="1" applyFont="1" applyFill="1" applyBorder="1" applyAlignment="1">
      <alignment horizontal="center" wrapText="1"/>
    </xf>
    <xf numFmtId="43" fontId="8" fillId="7" borderId="15" xfId="1" applyNumberFormat="1" applyFont="1" applyFill="1" applyBorder="1" applyAlignment="1">
      <alignment horizont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8" borderId="11" xfId="1" applyFont="1" applyFill="1" applyBorder="1" applyAlignment="1">
      <alignment horizontal="center" vertical="center" wrapText="1"/>
    </xf>
    <xf numFmtId="0" fontId="11" fillId="8" borderId="0" xfId="1" applyFont="1" applyFill="1" applyBorder="1" applyAlignment="1">
      <alignment horizontal="center" vertical="center" wrapText="1"/>
    </xf>
    <xf numFmtId="0" fontId="33" fillId="3" borderId="4" xfId="1" applyFont="1" applyFill="1" applyBorder="1" applyAlignment="1">
      <alignment horizontal="center" vertical="center" wrapText="1"/>
    </xf>
    <xf numFmtId="0" fontId="33" fillId="3" borderId="14" xfId="1" applyFont="1" applyFill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14" xfId="0" applyFont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8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0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38" fillId="0" borderId="0" xfId="0" applyFont="1" applyBorder="1" applyAlignment="1">
      <alignment wrapText="1"/>
    </xf>
    <xf numFmtId="0" fontId="38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wrapText="1"/>
    </xf>
    <xf numFmtId="0" fontId="38" fillId="0" borderId="0" xfId="0" applyFont="1" applyBorder="1" applyAlignment="1">
      <alignment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/>
    <xf numFmtId="43" fontId="37" fillId="0" borderId="1" xfId="2" applyFont="1" applyBorder="1" applyAlignment="1">
      <alignment horizontal="center" vertical="center" wrapText="1"/>
    </xf>
    <xf numFmtId="2" fontId="37" fillId="0" borderId="1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top" wrapText="1"/>
    </xf>
    <xf numFmtId="0" fontId="38" fillId="0" borderId="0" xfId="0" applyFont="1" applyAlignment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871904</xdr:colOff>
      <xdr:row>7</xdr:row>
      <xdr:rowOff>124557</xdr:rowOff>
    </xdr:from>
    <xdr:ext cx="184731" cy="264560"/>
    <xdr:sp macro="" textlink="">
      <xdr:nvSpPr>
        <xdr:cNvPr id="2" name="TextBox 1"/>
        <xdr:cNvSpPr txBox="1"/>
      </xdr:nvSpPr>
      <xdr:spPr>
        <a:xfrm>
          <a:off x="17769254" y="18104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740179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987829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987829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667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871904</xdr:colOff>
      <xdr:row>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5533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5533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871904</xdr:colOff>
      <xdr:row>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5533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5"/>
  <sheetViews>
    <sheetView view="pageBreakPreview" topLeftCell="A257" zoomScale="120" zoomScaleNormal="100" zoomScaleSheetLayoutView="120" workbookViewId="0">
      <selection activeCell="A2" sqref="A2:K292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5" max="5" width="11" customWidth="1"/>
    <col min="6" max="6" width="12.5703125" customWidth="1"/>
    <col min="7" max="7" width="40.85546875" customWidth="1"/>
    <col min="8" max="9" width="7.42578125" style="75" customWidth="1"/>
    <col min="10" max="10" width="10.28515625" style="75" customWidth="1"/>
    <col min="11" max="11" width="13.7109375" style="169" bestFit="1" customWidth="1"/>
    <col min="12" max="12" width="21.140625" customWidth="1"/>
    <col min="13" max="13" width="12.7109375" bestFit="1" customWidth="1"/>
    <col min="14" max="14" width="11.140625" customWidth="1"/>
    <col min="16" max="16" width="9.28515625" bestFit="1" customWidth="1"/>
    <col min="17" max="17" width="18.7109375" customWidth="1"/>
    <col min="18" max="18" width="28.5703125" customWidth="1"/>
    <col min="19" max="19" width="10" style="76" bestFit="1" customWidth="1"/>
    <col min="20" max="20" width="29.42578125" customWidth="1"/>
    <col min="21" max="21" width="9.28515625" bestFit="1" customWidth="1"/>
  </cols>
  <sheetData>
    <row r="1" spans="1:20">
      <c r="A1" s="171"/>
      <c r="B1" s="170"/>
      <c r="C1" s="109"/>
      <c r="D1" s="1"/>
      <c r="E1" s="77"/>
      <c r="F1" s="1"/>
      <c r="G1" s="1"/>
      <c r="H1" s="232"/>
      <c r="I1" s="232"/>
      <c r="J1" s="232"/>
      <c r="K1" s="165"/>
      <c r="L1" s="58"/>
    </row>
    <row r="2" spans="1:20">
      <c r="A2" s="321" t="s">
        <v>0</v>
      </c>
      <c r="B2" s="321" t="s">
        <v>1</v>
      </c>
      <c r="C2" s="322" t="s">
        <v>2</v>
      </c>
      <c r="D2" s="321" t="s">
        <v>3</v>
      </c>
      <c r="E2" s="321" t="s">
        <v>4</v>
      </c>
      <c r="F2" s="320" t="s">
        <v>60</v>
      </c>
      <c r="G2" s="325" t="s">
        <v>62</v>
      </c>
      <c r="H2" s="325"/>
      <c r="I2" s="325"/>
      <c r="J2" s="325"/>
      <c r="K2" s="325"/>
      <c r="L2" s="321" t="s">
        <v>5</v>
      </c>
    </row>
    <row r="3" spans="1:20" ht="36.75">
      <c r="A3" s="321"/>
      <c r="B3" s="321"/>
      <c r="C3" s="322"/>
      <c r="D3" s="321"/>
      <c r="E3" s="321"/>
      <c r="F3" s="320"/>
      <c r="G3" s="314" t="s">
        <v>61</v>
      </c>
      <c r="H3" s="8" t="s">
        <v>91</v>
      </c>
      <c r="I3" s="8" t="s">
        <v>95</v>
      </c>
      <c r="J3" s="8" t="s">
        <v>321</v>
      </c>
      <c r="K3" s="150" t="s">
        <v>6</v>
      </c>
      <c r="L3" s="321"/>
    </row>
    <row r="4" spans="1:20" ht="12.75" customHeight="1">
      <c r="A4" s="21">
        <v>1</v>
      </c>
      <c r="B4" s="35" t="s">
        <v>7</v>
      </c>
      <c r="C4" s="110">
        <v>2</v>
      </c>
      <c r="D4" s="21"/>
      <c r="E4" s="21"/>
      <c r="F4" s="63"/>
      <c r="G4" s="64"/>
      <c r="H4" s="237"/>
      <c r="I4" s="237"/>
      <c r="J4" s="237"/>
      <c r="K4" s="151"/>
      <c r="L4" s="21"/>
    </row>
    <row r="5" spans="1:20">
      <c r="A5" s="32"/>
      <c r="B5" s="186" t="s">
        <v>64</v>
      </c>
      <c r="C5" s="187"/>
      <c r="D5" s="15">
        <v>7930.6</v>
      </c>
      <c r="E5" s="183">
        <f>0.63*12</f>
        <v>7.5600000000000005</v>
      </c>
      <c r="F5" s="79">
        <f>E5*D5</f>
        <v>59955.33600000001</v>
      </c>
      <c r="G5" s="148" t="s">
        <v>92</v>
      </c>
      <c r="H5" s="240">
        <v>1</v>
      </c>
      <c r="I5" s="240" t="s">
        <v>97</v>
      </c>
      <c r="J5" s="310">
        <v>40000</v>
      </c>
      <c r="K5" s="166"/>
      <c r="L5" s="91"/>
      <c r="M5" s="326"/>
      <c r="N5" s="327"/>
      <c r="O5" s="202"/>
      <c r="Q5" s="107"/>
      <c r="R5" s="75"/>
    </row>
    <row r="6" spans="1:20" ht="24">
      <c r="A6" s="32"/>
      <c r="B6" s="186"/>
      <c r="C6" s="187"/>
      <c r="D6" s="15"/>
      <c r="E6" s="193"/>
      <c r="F6" s="79"/>
      <c r="G6" s="67" t="s">
        <v>364</v>
      </c>
      <c r="H6" s="293">
        <f>6+68+21+24+11+23+(51+21)+9</f>
        <v>234</v>
      </c>
      <c r="I6" s="293" t="s">
        <v>101</v>
      </c>
      <c r="J6" s="310">
        <f>60*530</f>
        <v>31800</v>
      </c>
      <c r="K6" s="150">
        <f>H6*530</f>
        <v>124020</v>
      </c>
      <c r="L6" s="89" t="s">
        <v>99</v>
      </c>
      <c r="M6" s="328" t="s">
        <v>353</v>
      </c>
      <c r="N6" s="329"/>
      <c r="O6" s="329"/>
      <c r="P6" s="329"/>
      <c r="Q6" s="107"/>
      <c r="R6" s="75"/>
    </row>
    <row r="7" spans="1:20" ht="14.25" customHeight="1">
      <c r="A7" s="32"/>
      <c r="B7" s="186"/>
      <c r="C7" s="187"/>
      <c r="D7" s="15"/>
      <c r="E7" s="193"/>
      <c r="F7" s="79"/>
      <c r="G7" s="313" t="s">
        <v>111</v>
      </c>
      <c r="H7" s="310">
        <v>1</v>
      </c>
      <c r="I7" s="313" t="s">
        <v>125</v>
      </c>
      <c r="J7" s="310">
        <v>37313.96</v>
      </c>
      <c r="K7" s="166"/>
      <c r="L7" s="89"/>
      <c r="M7" s="148" t="s">
        <v>111</v>
      </c>
      <c r="N7" s="240">
        <v>1</v>
      </c>
      <c r="O7" s="240" t="s">
        <v>125</v>
      </c>
      <c r="P7" s="310">
        <v>37313.96</v>
      </c>
      <c r="Q7" s="107"/>
      <c r="R7" s="75"/>
    </row>
    <row r="8" spans="1:20" ht="12.75" customHeight="1">
      <c r="A8" s="316"/>
      <c r="B8" s="90"/>
      <c r="C8" s="111"/>
      <c r="D8" s="12"/>
      <c r="E8" s="15"/>
      <c r="F8" s="79"/>
      <c r="G8" s="26" t="s">
        <v>8</v>
      </c>
      <c r="H8" s="241"/>
      <c r="I8" s="241"/>
      <c r="J8" s="241"/>
      <c r="K8" s="152">
        <f>SUM(K5:K7)</f>
        <v>124020</v>
      </c>
      <c r="L8" s="10"/>
      <c r="M8" s="149" t="s">
        <v>239</v>
      </c>
      <c r="N8" s="233">
        <v>1</v>
      </c>
      <c r="O8" s="233" t="s">
        <v>150</v>
      </c>
      <c r="P8" s="233">
        <v>74627.92</v>
      </c>
      <c r="Q8" s="142"/>
      <c r="R8" s="134"/>
      <c r="S8" s="133"/>
      <c r="T8" s="92"/>
    </row>
    <row r="9" spans="1:20" ht="12.75" customHeight="1">
      <c r="A9" s="316"/>
      <c r="B9" s="3"/>
      <c r="C9" s="111"/>
      <c r="D9" s="12"/>
      <c r="E9" s="12"/>
      <c r="F9" s="79"/>
      <c r="G9" s="26" t="s">
        <v>9</v>
      </c>
      <c r="H9" s="241"/>
      <c r="I9" s="241"/>
      <c r="J9" s="241"/>
      <c r="K9" s="205">
        <f>F5-K8</f>
        <v>-64064.66399999999</v>
      </c>
      <c r="L9" s="16"/>
      <c r="M9" s="149" t="s">
        <v>202</v>
      </c>
      <c r="N9" s="233">
        <v>1</v>
      </c>
      <c r="O9" s="233" t="s">
        <v>150</v>
      </c>
      <c r="P9" s="233">
        <v>65484.1</v>
      </c>
      <c r="Q9" s="142"/>
      <c r="R9" s="131"/>
      <c r="S9" s="133"/>
    </row>
    <row r="10" spans="1:20" ht="12.75" customHeight="1">
      <c r="A10" s="22">
        <v>2</v>
      </c>
      <c r="B10" s="23" t="s">
        <v>7</v>
      </c>
      <c r="C10" s="24">
        <v>4</v>
      </c>
      <c r="D10" s="37"/>
      <c r="E10" s="37"/>
      <c r="F10" s="85"/>
      <c r="G10" s="38"/>
      <c r="H10" s="237"/>
      <c r="I10" s="237"/>
      <c r="J10" s="237"/>
      <c r="K10" s="153"/>
      <c r="L10" s="39"/>
      <c r="P10" s="76"/>
      <c r="Q10" s="142"/>
      <c r="R10" s="132"/>
      <c r="S10" s="128"/>
    </row>
    <row r="11" spans="1:20" ht="24">
      <c r="A11" s="314"/>
      <c r="B11" s="186" t="s">
        <v>64</v>
      </c>
      <c r="C11" s="315"/>
      <c r="D11" s="16">
        <v>8229.6</v>
      </c>
      <c r="E11" s="183">
        <f>0.57*12</f>
        <v>6.84</v>
      </c>
      <c r="F11" s="78">
        <f>E11*D11</f>
        <v>56290.464</v>
      </c>
      <c r="G11" s="67" t="s">
        <v>349</v>
      </c>
      <c r="H11" s="249">
        <f>12+33+29+29+6</f>
        <v>109</v>
      </c>
      <c r="I11" s="249" t="s">
        <v>101</v>
      </c>
      <c r="J11" s="240">
        <f>32*530</f>
        <v>16960</v>
      </c>
      <c r="K11" s="150">
        <f>H11*530</f>
        <v>57770</v>
      </c>
      <c r="L11" s="91" t="s">
        <v>296</v>
      </c>
      <c r="P11" s="76"/>
      <c r="Q11" s="142"/>
      <c r="R11" s="131"/>
      <c r="S11" s="128"/>
    </row>
    <row r="12" spans="1:20">
      <c r="A12" s="314"/>
      <c r="B12" s="186"/>
      <c r="C12" s="315"/>
      <c r="D12" s="16"/>
      <c r="E12" s="183"/>
      <c r="F12" s="78"/>
      <c r="G12" s="148" t="s">
        <v>152</v>
      </c>
      <c r="H12" s="240">
        <v>2</v>
      </c>
      <c r="I12" s="240" t="s">
        <v>97</v>
      </c>
      <c r="J12" s="166">
        <v>60000</v>
      </c>
      <c r="K12" s="166"/>
      <c r="L12" s="91"/>
      <c r="P12" s="76"/>
      <c r="Q12" s="142"/>
      <c r="R12" s="131"/>
      <c r="S12" s="128"/>
    </row>
    <row r="13" spans="1:20" s="107" customFormat="1" ht="24">
      <c r="A13" s="222"/>
      <c r="B13" s="212"/>
      <c r="C13" s="223"/>
      <c r="D13" s="196"/>
      <c r="E13" s="213"/>
      <c r="F13" s="88"/>
      <c r="G13" s="67" t="s">
        <v>324</v>
      </c>
      <c r="H13" s="249">
        <f>8*3.4</f>
        <v>27.2</v>
      </c>
      <c r="I13" s="249" t="s">
        <v>126</v>
      </c>
      <c r="J13" s="249"/>
      <c r="K13" s="158">
        <f>H13*2200</f>
        <v>59840</v>
      </c>
      <c r="L13" s="93"/>
      <c r="P13" s="129"/>
      <c r="Q13" s="142"/>
      <c r="R13" s="224"/>
      <c r="S13" s="225"/>
    </row>
    <row r="14" spans="1:20" ht="12.75" customHeight="1">
      <c r="A14" s="314"/>
      <c r="B14" s="2"/>
      <c r="C14" s="315"/>
      <c r="D14" s="4"/>
      <c r="E14" s="20"/>
      <c r="F14" s="78"/>
      <c r="G14" s="26" t="s">
        <v>8</v>
      </c>
      <c r="H14" s="241"/>
      <c r="I14" s="241"/>
      <c r="J14" s="241"/>
      <c r="K14" s="152">
        <f>SUM(K11:K13)</f>
        <v>117610</v>
      </c>
      <c r="L14" s="10"/>
      <c r="P14" s="76"/>
      <c r="Q14" s="124"/>
      <c r="R14" s="131"/>
      <c r="S14" s="128"/>
    </row>
    <row r="15" spans="1:20" ht="12.75" customHeight="1">
      <c r="A15" s="314"/>
      <c r="B15" s="2"/>
      <c r="C15" s="315"/>
      <c r="D15" s="4"/>
      <c r="E15" s="20"/>
      <c r="F15" s="78"/>
      <c r="G15" s="26" t="s">
        <v>9</v>
      </c>
      <c r="H15" s="241"/>
      <c r="I15" s="241"/>
      <c r="J15" s="241"/>
      <c r="K15" s="205">
        <f>F11-K14</f>
        <v>-61319.536</v>
      </c>
      <c r="L15" s="10"/>
      <c r="P15" s="76"/>
      <c r="Q15" s="124"/>
      <c r="R15" s="131"/>
      <c r="S15" s="128"/>
    </row>
    <row r="16" spans="1:20" ht="12.75" customHeight="1">
      <c r="A16" s="68">
        <v>3</v>
      </c>
      <c r="B16" s="69" t="s">
        <v>7</v>
      </c>
      <c r="C16" s="70" t="s">
        <v>10</v>
      </c>
      <c r="D16" s="71"/>
      <c r="E16" s="71"/>
      <c r="F16" s="86"/>
      <c r="G16" s="72"/>
      <c r="H16" s="243"/>
      <c r="I16" s="243"/>
      <c r="J16" s="243"/>
      <c r="K16" s="155"/>
      <c r="L16" s="73"/>
      <c r="P16" s="76"/>
      <c r="Q16" s="124"/>
      <c r="R16" s="131"/>
      <c r="S16" s="128"/>
    </row>
    <row r="17" spans="1:20" ht="12.75" customHeight="1">
      <c r="A17" s="314"/>
      <c r="B17" s="186" t="s">
        <v>64</v>
      </c>
      <c r="C17" s="315"/>
      <c r="D17" s="16">
        <v>8158.7</v>
      </c>
      <c r="E17" s="183">
        <f>0.57*12</f>
        <v>6.84</v>
      </c>
      <c r="F17" s="78">
        <f>D17*E17</f>
        <v>55805.507999999994</v>
      </c>
      <c r="G17" s="67" t="s">
        <v>350</v>
      </c>
      <c r="H17" s="249">
        <f>3*3.4</f>
        <v>10.199999999999999</v>
      </c>
      <c r="I17" s="249" t="s">
        <v>126</v>
      </c>
      <c r="J17" s="240"/>
      <c r="K17" s="150">
        <f>H17*2200</f>
        <v>22440</v>
      </c>
      <c r="L17" s="10"/>
      <c r="P17" s="76"/>
      <c r="Q17" s="124"/>
      <c r="R17" s="131"/>
      <c r="S17" s="128"/>
    </row>
    <row r="18" spans="1:20" ht="12.75" customHeight="1">
      <c r="A18" s="314"/>
      <c r="B18" s="186"/>
      <c r="C18" s="315"/>
      <c r="D18" s="16"/>
      <c r="E18" s="183"/>
      <c r="F18" s="78"/>
      <c r="G18" s="67" t="s">
        <v>363</v>
      </c>
      <c r="H18" s="249">
        <f>23+7+12+28</f>
        <v>70</v>
      </c>
      <c r="I18" s="249" t="s">
        <v>101</v>
      </c>
      <c r="J18" s="240"/>
      <c r="K18" s="150">
        <f>H18*530</f>
        <v>37100</v>
      </c>
      <c r="L18" s="10"/>
      <c r="P18" s="76"/>
      <c r="Q18" s="124"/>
      <c r="R18" s="131"/>
      <c r="S18" s="128"/>
    </row>
    <row r="19" spans="1:20" ht="12.75" customHeight="1">
      <c r="A19" s="314"/>
      <c r="B19" s="2"/>
      <c r="C19" s="315"/>
      <c r="D19" s="4"/>
      <c r="E19" s="4"/>
      <c r="F19" s="80"/>
      <c r="G19" s="26" t="s">
        <v>8</v>
      </c>
      <c r="H19" s="241"/>
      <c r="I19" s="241"/>
      <c r="J19" s="241"/>
      <c r="K19" s="152">
        <f>SUM(K17:K18)</f>
        <v>59540</v>
      </c>
      <c r="L19" s="28"/>
      <c r="P19" s="76"/>
      <c r="Q19" s="124"/>
      <c r="R19" s="131"/>
      <c r="S19" s="128"/>
    </row>
    <row r="20" spans="1:20" ht="12.75" customHeight="1">
      <c r="A20" s="314"/>
      <c r="B20" s="2"/>
      <c r="C20" s="315"/>
      <c r="D20" s="4"/>
      <c r="E20" s="4"/>
      <c r="F20" s="78"/>
      <c r="G20" s="26" t="s">
        <v>9</v>
      </c>
      <c r="H20" s="241"/>
      <c r="I20" s="241"/>
      <c r="J20" s="241"/>
      <c r="K20" s="205">
        <f>F17-K19</f>
        <v>-3734.4920000000056</v>
      </c>
      <c r="L20" s="28" t="s">
        <v>11</v>
      </c>
      <c r="P20" s="76"/>
      <c r="Q20" s="124"/>
      <c r="R20" s="131"/>
      <c r="S20" s="128"/>
    </row>
    <row r="21" spans="1:20" ht="12.75" customHeight="1">
      <c r="A21" s="22">
        <v>4</v>
      </c>
      <c r="B21" s="23" t="s">
        <v>7</v>
      </c>
      <c r="C21" s="34" t="s">
        <v>12</v>
      </c>
      <c r="D21" s="40"/>
      <c r="E21" s="40"/>
      <c r="F21" s="81"/>
      <c r="G21" s="41"/>
      <c r="H21" s="235"/>
      <c r="I21" s="235"/>
      <c r="J21" s="235"/>
      <c r="K21" s="153"/>
      <c r="L21" s="97"/>
      <c r="P21" s="75"/>
    </row>
    <row r="22" spans="1:20">
      <c r="A22" s="314"/>
      <c r="B22" s="186" t="s">
        <v>64</v>
      </c>
      <c r="C22" s="5"/>
      <c r="D22" s="16">
        <v>7935.6</v>
      </c>
      <c r="E22" s="183">
        <f>0.63*12</f>
        <v>7.5600000000000005</v>
      </c>
      <c r="F22" s="78">
        <f>D22*E22</f>
        <v>59993.136000000006</v>
      </c>
      <c r="G22" s="67" t="s">
        <v>247</v>
      </c>
      <c r="H22" s="249">
        <v>16</v>
      </c>
      <c r="I22" s="249" t="s">
        <v>101</v>
      </c>
      <c r="J22" s="249"/>
      <c r="K22" s="150">
        <f>H22*530</f>
        <v>8480</v>
      </c>
      <c r="L22" s="93"/>
      <c r="P22" s="75"/>
    </row>
    <row r="23" spans="1:20">
      <c r="A23" s="314"/>
      <c r="B23" s="186"/>
      <c r="C23" s="5"/>
      <c r="D23" s="16"/>
      <c r="E23" s="183"/>
      <c r="F23" s="78"/>
      <c r="G23" s="148" t="s">
        <v>323</v>
      </c>
      <c r="H23" s="240">
        <v>40</v>
      </c>
      <c r="I23" s="240" t="s">
        <v>107</v>
      </c>
      <c r="J23" s="240">
        <v>30000</v>
      </c>
      <c r="K23" s="150"/>
      <c r="L23" s="93"/>
      <c r="P23" s="75"/>
    </row>
    <row r="24" spans="1:20" ht="12.75" customHeight="1">
      <c r="A24" s="314"/>
      <c r="B24" s="2"/>
      <c r="C24" s="5"/>
      <c r="D24" s="6"/>
      <c r="E24" s="4"/>
      <c r="F24" s="78"/>
      <c r="G24" s="26" t="s">
        <v>8</v>
      </c>
      <c r="H24" s="241"/>
      <c r="I24" s="241"/>
      <c r="J24" s="241"/>
      <c r="K24" s="152">
        <f>SUM(K22:K22)</f>
        <v>8480</v>
      </c>
      <c r="L24" s="7"/>
      <c r="P24" s="75"/>
    </row>
    <row r="25" spans="1:20" ht="12.75" customHeight="1">
      <c r="A25" s="314"/>
      <c r="B25" s="2"/>
      <c r="C25" s="5"/>
      <c r="D25" s="6"/>
      <c r="E25" s="4"/>
      <c r="F25" s="78"/>
      <c r="G25" s="26" t="s">
        <v>9</v>
      </c>
      <c r="H25" s="241"/>
      <c r="I25" s="241"/>
      <c r="J25" s="241"/>
      <c r="K25" s="152">
        <f>F22-K24</f>
        <v>51513.136000000006</v>
      </c>
      <c r="L25" s="7"/>
      <c r="P25" s="75"/>
      <c r="R25" s="127"/>
      <c r="S25" s="140"/>
    </row>
    <row r="26" spans="1:20" ht="12.75" customHeight="1">
      <c r="A26" s="22">
        <v>5</v>
      </c>
      <c r="B26" s="23" t="s">
        <v>7</v>
      </c>
      <c r="C26" s="34" t="s">
        <v>13</v>
      </c>
      <c r="D26" s="42"/>
      <c r="E26" s="40"/>
      <c r="F26" s="81"/>
      <c r="G26" s="43"/>
      <c r="H26" s="235"/>
      <c r="I26" s="235"/>
      <c r="J26" s="235"/>
      <c r="K26" s="167"/>
      <c r="L26" s="31"/>
      <c r="P26" s="143"/>
      <c r="Q26" s="131"/>
      <c r="R26" s="124"/>
      <c r="S26" s="146"/>
      <c r="T26" s="144"/>
    </row>
    <row r="27" spans="1:20" ht="36.75">
      <c r="A27" s="314"/>
      <c r="B27" s="186" t="s">
        <v>64</v>
      </c>
      <c r="C27" s="189"/>
      <c r="D27" s="16">
        <v>19148.099999999999</v>
      </c>
      <c r="E27" s="183">
        <f>0.63*12</f>
        <v>7.5600000000000005</v>
      </c>
      <c r="F27" s="78">
        <f>D27*E27</f>
        <v>144759.636</v>
      </c>
      <c r="G27" s="256" t="s">
        <v>309</v>
      </c>
      <c r="H27" s="247">
        <f>4+6+10+6+37+7+8.5+13+20.5+16+10.5+15+20+18.5+16+8.5+6+8</f>
        <v>230.5</v>
      </c>
      <c r="I27" s="247" t="s">
        <v>101</v>
      </c>
      <c r="J27" s="247"/>
      <c r="K27" s="150">
        <f>H27*530</f>
        <v>122165</v>
      </c>
      <c r="L27" s="91" t="s">
        <v>147</v>
      </c>
      <c r="M27" s="319"/>
      <c r="P27" s="143"/>
      <c r="R27" s="144"/>
      <c r="S27" s="145"/>
    </row>
    <row r="28" spans="1:20" ht="12.75" customHeight="1">
      <c r="A28" s="314"/>
      <c r="B28" s="186"/>
      <c r="C28" s="189"/>
      <c r="D28" s="16"/>
      <c r="E28" s="193"/>
      <c r="F28" s="78"/>
      <c r="G28" s="256" t="s">
        <v>325</v>
      </c>
      <c r="H28" s="247">
        <f>5*3.4</f>
        <v>17</v>
      </c>
      <c r="I28" s="247" t="s">
        <v>126</v>
      </c>
      <c r="J28" s="229"/>
      <c r="K28" s="150">
        <f>H28*2200</f>
        <v>37400</v>
      </c>
      <c r="L28" s="91" t="s">
        <v>151</v>
      </c>
      <c r="P28" s="143"/>
      <c r="R28" s="144"/>
      <c r="S28" s="145"/>
    </row>
    <row r="29" spans="1:20" ht="12.75" customHeight="1">
      <c r="A29" s="314"/>
      <c r="B29" s="33"/>
      <c r="C29" s="5"/>
      <c r="D29" s="6"/>
      <c r="E29" s="74"/>
      <c r="F29" s="80"/>
      <c r="G29" s="147" t="s">
        <v>172</v>
      </c>
      <c r="H29" s="229">
        <v>2</v>
      </c>
      <c r="I29" s="229" t="s">
        <v>126</v>
      </c>
      <c r="J29" s="229"/>
      <c r="K29" s="166"/>
      <c r="L29" s="10"/>
      <c r="P29" s="143"/>
    </row>
    <row r="30" spans="1:20" ht="12.75" customHeight="1">
      <c r="A30" s="314"/>
      <c r="B30" s="2"/>
      <c r="C30" s="5"/>
      <c r="D30" s="6"/>
      <c r="E30" s="4"/>
      <c r="F30" s="78"/>
      <c r="G30" s="26" t="s">
        <v>8</v>
      </c>
      <c r="H30" s="241"/>
      <c r="I30" s="241"/>
      <c r="J30" s="241"/>
      <c r="K30" s="152">
        <f>SUM(K27:K29)</f>
        <v>159565</v>
      </c>
      <c r="L30" s="10"/>
    </row>
    <row r="31" spans="1:20" ht="12.75" customHeight="1">
      <c r="A31" s="314"/>
      <c r="B31" s="2"/>
      <c r="C31" s="5"/>
      <c r="D31" s="6"/>
      <c r="E31" s="4"/>
      <c r="F31" s="78"/>
      <c r="G31" s="26" t="s">
        <v>9</v>
      </c>
      <c r="H31" s="241"/>
      <c r="I31" s="241"/>
      <c r="J31" s="241"/>
      <c r="K31" s="205">
        <f>F27-K30</f>
        <v>-14805.364000000001</v>
      </c>
      <c r="L31" s="10"/>
      <c r="Q31" s="141"/>
      <c r="R31" s="138"/>
      <c r="S31" s="139"/>
    </row>
    <row r="32" spans="1:20" ht="12.75" customHeight="1">
      <c r="A32" s="22">
        <v>6</v>
      </c>
      <c r="B32" s="23" t="s">
        <v>7</v>
      </c>
      <c r="C32" s="34" t="s">
        <v>14</v>
      </c>
      <c r="D32" s="42"/>
      <c r="E32" s="40"/>
      <c r="F32" s="81"/>
      <c r="G32" s="44"/>
      <c r="H32" s="236"/>
      <c r="I32" s="236"/>
      <c r="J32" s="236"/>
      <c r="K32" s="167"/>
      <c r="L32" s="39"/>
    </row>
    <row r="33" spans="1:13" ht="15" customHeight="1">
      <c r="A33" s="314"/>
      <c r="B33" s="186" t="s">
        <v>64</v>
      </c>
      <c r="C33" s="5"/>
      <c r="D33" s="16">
        <v>5580.6</v>
      </c>
      <c r="E33" s="183">
        <f>0.63*12</f>
        <v>7.5600000000000005</v>
      </c>
      <c r="F33" s="78">
        <f>D33*E33</f>
        <v>42189.336000000003</v>
      </c>
      <c r="G33" s="256" t="s">
        <v>102</v>
      </c>
      <c r="H33" s="247">
        <f>14+30+45</f>
        <v>89</v>
      </c>
      <c r="I33" s="247" t="s">
        <v>101</v>
      </c>
      <c r="J33" s="247"/>
      <c r="K33" s="150">
        <f>H33*530</f>
        <v>47170</v>
      </c>
      <c r="L33" s="66"/>
      <c r="M33" s="136"/>
    </row>
    <row r="34" spans="1:13" ht="26.25" customHeight="1">
      <c r="A34" s="314"/>
      <c r="B34" s="186"/>
      <c r="C34" s="5"/>
      <c r="D34" s="16"/>
      <c r="E34" s="183"/>
      <c r="F34" s="78"/>
      <c r="G34" s="256" t="s">
        <v>326</v>
      </c>
      <c r="H34" s="247">
        <f>6*3.4</f>
        <v>20.399999999999999</v>
      </c>
      <c r="I34" s="247" t="s">
        <v>126</v>
      </c>
      <c r="J34" s="229"/>
      <c r="K34" s="150">
        <f>H34*2200</f>
        <v>44880</v>
      </c>
      <c r="L34" s="66"/>
    </row>
    <row r="35" spans="1:13" ht="12.75" customHeight="1">
      <c r="A35" s="314"/>
      <c r="B35" s="186"/>
      <c r="C35" s="5"/>
      <c r="D35" s="16"/>
      <c r="E35" s="183"/>
      <c r="F35" s="78"/>
      <c r="G35" s="126" t="s">
        <v>65</v>
      </c>
      <c r="H35" s="233"/>
      <c r="I35" s="233"/>
      <c r="J35" s="233"/>
      <c r="K35" s="166"/>
      <c r="L35" s="66"/>
    </row>
    <row r="36" spans="1:13" ht="12.75" customHeight="1">
      <c r="A36" s="314"/>
      <c r="B36" s="186"/>
      <c r="C36" s="5"/>
      <c r="D36" s="16"/>
      <c r="E36" s="183"/>
      <c r="F36" s="78"/>
      <c r="G36" s="126" t="s">
        <v>66</v>
      </c>
      <c r="H36" s="233"/>
      <c r="I36" s="233"/>
      <c r="J36" s="233"/>
      <c r="K36" s="166"/>
      <c r="L36" s="66"/>
    </row>
    <row r="37" spans="1:13" ht="12.75" customHeight="1">
      <c r="A37" s="314"/>
      <c r="B37" s="90"/>
      <c r="C37" s="5"/>
      <c r="D37" s="6"/>
      <c r="E37" s="16"/>
      <c r="F37" s="78"/>
      <c r="G37" s="26" t="s">
        <v>8</v>
      </c>
      <c r="H37" s="241"/>
      <c r="I37" s="241"/>
      <c r="J37" s="241"/>
      <c r="K37" s="152">
        <f>SUM(K33:K36)</f>
        <v>92050</v>
      </c>
      <c r="L37" s="16"/>
    </row>
    <row r="38" spans="1:13" ht="12.75" customHeight="1">
      <c r="A38" s="314"/>
      <c r="B38" s="2"/>
      <c r="C38" s="5"/>
      <c r="D38" s="6"/>
      <c r="E38" s="4"/>
      <c r="F38" s="87"/>
      <c r="G38" s="26" t="s">
        <v>9</v>
      </c>
      <c r="H38" s="241"/>
      <c r="I38" s="241"/>
      <c r="J38" s="241"/>
      <c r="K38" s="205">
        <f>F33-K37</f>
        <v>-49860.663999999997</v>
      </c>
      <c r="L38" s="16"/>
    </row>
    <row r="39" spans="1:13" ht="12.75" customHeight="1">
      <c r="A39" s="22">
        <v>7</v>
      </c>
      <c r="B39" s="23" t="s">
        <v>7</v>
      </c>
      <c r="C39" s="34" t="s">
        <v>15</v>
      </c>
      <c r="D39" s="42"/>
      <c r="E39" s="40"/>
      <c r="F39" s="81"/>
      <c r="G39" s="43"/>
      <c r="H39" s="235"/>
      <c r="I39" s="235"/>
      <c r="J39" s="235"/>
      <c r="K39" s="167"/>
      <c r="L39" s="40"/>
    </row>
    <row r="40" spans="1:13" ht="12.75" customHeight="1">
      <c r="A40" s="314"/>
      <c r="B40" s="186" t="s">
        <v>64</v>
      </c>
      <c r="C40" s="5"/>
      <c r="D40" s="18">
        <v>3472.2</v>
      </c>
      <c r="E40" s="183">
        <f>0.63*12</f>
        <v>7.5600000000000005</v>
      </c>
      <c r="F40" s="78">
        <f>D40*E40</f>
        <v>26249.832000000002</v>
      </c>
      <c r="G40" s="19" t="s">
        <v>86</v>
      </c>
      <c r="H40" s="234">
        <v>12</v>
      </c>
      <c r="I40" s="234" t="s">
        <v>101</v>
      </c>
      <c r="J40" s="234"/>
      <c r="K40" s="150">
        <f>12*530</f>
        <v>6360</v>
      </c>
      <c r="L40" s="16"/>
      <c r="M40" s="136"/>
    </row>
    <row r="41" spans="1:13" ht="12.75" customHeight="1">
      <c r="A41" s="314"/>
      <c r="B41" s="186"/>
      <c r="C41" s="5"/>
      <c r="D41" s="18"/>
      <c r="E41" s="183"/>
      <c r="F41" s="78"/>
      <c r="G41" s="231" t="s">
        <v>117</v>
      </c>
      <c r="H41" s="233"/>
      <c r="I41" s="233"/>
      <c r="J41" s="233"/>
      <c r="K41" s="166"/>
      <c r="L41" s="16"/>
      <c r="M41" s="136"/>
    </row>
    <row r="42" spans="1:13" ht="12.75" customHeight="1">
      <c r="A42" s="314"/>
      <c r="B42" s="2"/>
      <c r="C42" s="5"/>
      <c r="D42" s="6"/>
      <c r="E42" s="4"/>
      <c r="F42" s="80"/>
      <c r="G42" s="26" t="s">
        <v>8</v>
      </c>
      <c r="H42" s="241"/>
      <c r="I42" s="241"/>
      <c r="J42" s="241"/>
      <c r="K42" s="152">
        <f>K40</f>
        <v>6360</v>
      </c>
      <c r="L42" s="10"/>
    </row>
    <row r="43" spans="1:13" ht="12.75" customHeight="1">
      <c r="A43" s="314"/>
      <c r="B43" s="2"/>
      <c r="C43" s="5"/>
      <c r="D43" s="6"/>
      <c r="E43" s="4"/>
      <c r="F43" s="87"/>
      <c r="G43" s="26" t="s">
        <v>9</v>
      </c>
      <c r="H43" s="241"/>
      <c r="I43" s="241"/>
      <c r="J43" s="241"/>
      <c r="K43" s="152">
        <f>F40-K42</f>
        <v>19889.832000000002</v>
      </c>
      <c r="L43" s="10"/>
    </row>
    <row r="44" spans="1:13" ht="12.75" customHeight="1">
      <c r="A44" s="22">
        <v>8</v>
      </c>
      <c r="B44" s="23" t="s">
        <v>7</v>
      </c>
      <c r="C44" s="34" t="s">
        <v>16</v>
      </c>
      <c r="D44" s="45"/>
      <c r="E44" s="46"/>
      <c r="F44" s="81"/>
      <c r="G44" s="43"/>
      <c r="H44" s="235"/>
      <c r="I44" s="235"/>
      <c r="J44" s="235"/>
      <c r="K44" s="167"/>
      <c r="L44" s="39"/>
    </row>
    <row r="45" spans="1:13">
      <c r="A45" s="314"/>
      <c r="B45" s="186" t="s">
        <v>64</v>
      </c>
      <c r="C45" s="189"/>
      <c r="D45" s="16">
        <v>5149.6000000000004</v>
      </c>
      <c r="E45" s="183">
        <f>0.63*12</f>
        <v>7.5600000000000005</v>
      </c>
      <c r="F45" s="78">
        <f>D45*E45</f>
        <v>38930.976000000002</v>
      </c>
      <c r="G45" s="256" t="s">
        <v>222</v>
      </c>
      <c r="H45" s="247">
        <f>14+9+7</f>
        <v>30</v>
      </c>
      <c r="I45" s="247" t="s">
        <v>101</v>
      </c>
      <c r="J45" s="247"/>
      <c r="K45" s="150">
        <f>H45*530</f>
        <v>15900</v>
      </c>
      <c r="L45" s="91"/>
      <c r="M45" s="136"/>
    </row>
    <row r="46" spans="1:13">
      <c r="A46" s="316"/>
      <c r="B46" s="186"/>
      <c r="C46" s="190"/>
      <c r="D46" s="15"/>
      <c r="E46" s="193"/>
      <c r="F46" s="78"/>
      <c r="G46" s="256" t="s">
        <v>255</v>
      </c>
      <c r="H46" s="247">
        <v>4</v>
      </c>
      <c r="I46" s="247" t="s">
        <v>97</v>
      </c>
      <c r="J46" s="247"/>
      <c r="K46" s="150">
        <v>15920.56</v>
      </c>
      <c r="L46" s="91"/>
      <c r="M46" s="136"/>
    </row>
    <row r="47" spans="1:13">
      <c r="A47" s="316"/>
      <c r="B47" s="33"/>
      <c r="C47" s="13"/>
      <c r="D47" s="14"/>
      <c r="E47" s="74"/>
      <c r="F47" s="80"/>
      <c r="G47" s="19" t="s">
        <v>137</v>
      </c>
      <c r="H47" s="234">
        <v>3.4</v>
      </c>
      <c r="I47" s="234" t="s">
        <v>126</v>
      </c>
      <c r="J47" s="233"/>
      <c r="K47" s="150">
        <f>H47*2200</f>
        <v>7480</v>
      </c>
      <c r="L47" s="314"/>
    </row>
    <row r="48" spans="1:13" ht="12.75" customHeight="1">
      <c r="A48" s="316"/>
      <c r="B48" s="90"/>
      <c r="C48" s="13"/>
      <c r="D48" s="14"/>
      <c r="E48" s="15"/>
      <c r="F48" s="78"/>
      <c r="G48" s="26" t="s">
        <v>8</v>
      </c>
      <c r="H48" s="241"/>
      <c r="I48" s="241"/>
      <c r="J48" s="241"/>
      <c r="K48" s="152">
        <f>SUM(K45:K47)</f>
        <v>39300.559999999998</v>
      </c>
      <c r="L48" s="10"/>
    </row>
    <row r="49" spans="1:15" ht="12.75" customHeight="1">
      <c r="A49" s="316"/>
      <c r="B49" s="57"/>
      <c r="C49" s="13"/>
      <c r="D49" s="14"/>
      <c r="E49" s="12"/>
      <c r="F49" s="78"/>
      <c r="G49" s="26" t="s">
        <v>9</v>
      </c>
      <c r="H49" s="241"/>
      <c r="I49" s="241"/>
      <c r="J49" s="241"/>
      <c r="K49" s="205">
        <f>F45-K48</f>
        <v>-369.58399999999529</v>
      </c>
      <c r="L49" s="10"/>
    </row>
    <row r="50" spans="1:15" ht="12.75" customHeight="1">
      <c r="A50" s="21">
        <v>9</v>
      </c>
      <c r="B50" s="35" t="s">
        <v>7</v>
      </c>
      <c r="C50" s="36" t="s">
        <v>17</v>
      </c>
      <c r="D50" s="47"/>
      <c r="E50" s="37"/>
      <c r="F50" s="81"/>
      <c r="G50" s="48"/>
      <c r="H50" s="237"/>
      <c r="I50" s="237"/>
      <c r="J50" s="237"/>
      <c r="K50" s="167"/>
      <c r="L50" s="39"/>
    </row>
    <row r="51" spans="1:15">
      <c r="A51" s="59"/>
      <c r="B51" s="186" t="s">
        <v>64</v>
      </c>
      <c r="C51" s="191"/>
      <c r="D51" s="192">
        <v>6802.1</v>
      </c>
      <c r="E51" s="183">
        <f>0.63*12</f>
        <v>7.5600000000000005</v>
      </c>
      <c r="F51" s="88">
        <f>D51*E51</f>
        <v>51423.876000000004</v>
      </c>
      <c r="G51" s="256" t="s">
        <v>212</v>
      </c>
      <c r="H51" s="247">
        <v>59</v>
      </c>
      <c r="I51" s="247" t="s">
        <v>101</v>
      </c>
      <c r="J51" s="247"/>
      <c r="K51" s="150">
        <f>H51*530</f>
        <v>31270</v>
      </c>
      <c r="L51" s="314"/>
      <c r="M51" s="136"/>
    </row>
    <row r="52" spans="1:15" ht="15.75">
      <c r="A52" s="59"/>
      <c r="B52" s="186"/>
      <c r="C52" s="191"/>
      <c r="D52" s="192"/>
      <c r="E52" s="193"/>
      <c r="F52" s="88"/>
      <c r="G52" s="19" t="s">
        <v>327</v>
      </c>
      <c r="H52" s="234">
        <f>4*3.4</f>
        <v>13.6</v>
      </c>
      <c r="I52" s="234" t="s">
        <v>126</v>
      </c>
      <c r="J52" s="234"/>
      <c r="K52" s="150">
        <f>H52*2200</f>
        <v>29920</v>
      </c>
      <c r="L52" s="203"/>
    </row>
    <row r="53" spans="1:15" ht="12.75" customHeight="1">
      <c r="A53" s="316"/>
      <c r="B53" s="3"/>
      <c r="C53" s="13"/>
      <c r="D53" s="14"/>
      <c r="E53" s="12"/>
      <c r="F53" s="87"/>
      <c r="G53" s="26" t="s">
        <v>8</v>
      </c>
      <c r="H53" s="241"/>
      <c r="I53" s="241"/>
      <c r="J53" s="241"/>
      <c r="K53" s="152">
        <f>SUM(K51:K52)</f>
        <v>61190</v>
      </c>
      <c r="L53" s="10"/>
    </row>
    <row r="54" spans="1:15" ht="12.75" customHeight="1">
      <c r="A54" s="316"/>
      <c r="B54" s="57"/>
      <c r="C54" s="13"/>
      <c r="D54" s="14"/>
      <c r="E54" s="12"/>
      <c r="F54" s="78"/>
      <c r="G54" s="26" t="s">
        <v>9</v>
      </c>
      <c r="H54" s="241"/>
      <c r="I54" s="241"/>
      <c r="J54" s="241"/>
      <c r="K54" s="205">
        <f>F51-K53</f>
        <v>-9766.1239999999962</v>
      </c>
      <c r="L54" s="16"/>
    </row>
    <row r="55" spans="1:15" ht="12.75" customHeight="1">
      <c r="A55" s="49">
        <v>10</v>
      </c>
      <c r="B55" s="50" t="s">
        <v>18</v>
      </c>
      <c r="C55" s="34" t="s">
        <v>19</v>
      </c>
      <c r="D55" s="47"/>
      <c r="E55" s="37"/>
      <c r="F55" s="81"/>
      <c r="G55" s="51"/>
      <c r="H55" s="238"/>
      <c r="I55" s="238"/>
      <c r="J55" s="238"/>
      <c r="K55" s="168"/>
      <c r="L55" s="39"/>
    </row>
    <row r="56" spans="1:15" ht="15" customHeight="1">
      <c r="A56" s="8"/>
      <c r="B56" s="186" t="s">
        <v>64</v>
      </c>
      <c r="C56" s="5"/>
      <c r="D56" s="16">
        <v>20894.8</v>
      </c>
      <c r="E56" s="183">
        <f>0.57*12</f>
        <v>6.84</v>
      </c>
      <c r="F56" s="78">
        <f>D56*E56</f>
        <v>142920.432</v>
      </c>
      <c r="G56" s="67" t="s">
        <v>302</v>
      </c>
      <c r="H56" s="249">
        <f>13+19+9</f>
        <v>41</v>
      </c>
      <c r="I56" s="249" t="s">
        <v>107</v>
      </c>
      <c r="J56" s="249"/>
      <c r="K56" s="150">
        <f>H56*530</f>
        <v>21730</v>
      </c>
      <c r="L56" s="89"/>
      <c r="M56" s="209"/>
      <c r="N56" s="210"/>
      <c r="O56" s="211"/>
    </row>
    <row r="57" spans="1:15" ht="12.75" customHeight="1">
      <c r="A57" s="59"/>
      <c r="B57" s="186"/>
      <c r="C57" s="191"/>
      <c r="D57" s="192"/>
      <c r="E57" s="193"/>
      <c r="F57" s="88"/>
      <c r="G57" s="226" t="s">
        <v>79</v>
      </c>
      <c r="H57" s="233"/>
      <c r="I57" s="233"/>
      <c r="J57" s="233"/>
      <c r="K57" s="150"/>
      <c r="L57" s="221"/>
      <c r="M57" s="209"/>
      <c r="N57" s="210"/>
      <c r="O57" s="211"/>
    </row>
    <row r="58" spans="1:15" ht="25.5" customHeight="1">
      <c r="A58" s="59"/>
      <c r="B58" s="186"/>
      <c r="C58" s="191"/>
      <c r="D58" s="192"/>
      <c r="E58" s="193"/>
      <c r="F58" s="88"/>
      <c r="G58" s="311" t="s">
        <v>248</v>
      </c>
      <c r="H58" s="234" t="s">
        <v>97</v>
      </c>
      <c r="I58" s="234">
        <v>200</v>
      </c>
      <c r="J58" s="233"/>
      <c r="K58" s="150">
        <f>107905</f>
        <v>107905</v>
      </c>
      <c r="L58" s="221"/>
      <c r="M58" s="209"/>
      <c r="N58" s="210"/>
      <c r="O58" s="211"/>
    </row>
    <row r="59" spans="1:15" ht="12.75" customHeight="1">
      <c r="A59" s="8"/>
      <c r="B59" s="9"/>
      <c r="C59" s="5"/>
      <c r="D59" s="6"/>
      <c r="E59" s="4"/>
      <c r="F59" s="80"/>
      <c r="G59" s="26" t="s">
        <v>8</v>
      </c>
      <c r="H59" s="241"/>
      <c r="I59" s="241"/>
      <c r="J59" s="241"/>
      <c r="K59" s="152">
        <f>SUM(K56:K58)</f>
        <v>129635</v>
      </c>
      <c r="L59" s="7"/>
    </row>
    <row r="60" spans="1:15" ht="12.75" customHeight="1">
      <c r="A60" s="8"/>
      <c r="B60" s="9"/>
      <c r="C60" s="5"/>
      <c r="D60" s="6"/>
      <c r="E60" s="4"/>
      <c r="F60" s="78"/>
      <c r="G60" s="26" t="s">
        <v>9</v>
      </c>
      <c r="H60" s="241"/>
      <c r="I60" s="241"/>
      <c r="J60" s="241"/>
      <c r="K60" s="152">
        <f>F56-K59</f>
        <v>13285.432000000001</v>
      </c>
      <c r="L60" s="7"/>
    </row>
    <row r="61" spans="1:15" ht="12.75" customHeight="1">
      <c r="A61" s="22">
        <v>11</v>
      </c>
      <c r="B61" s="23" t="s">
        <v>18</v>
      </c>
      <c r="C61" s="24" t="s">
        <v>20</v>
      </c>
      <c r="D61" s="42"/>
      <c r="E61" s="40"/>
      <c r="F61" s="81"/>
      <c r="G61" s="53"/>
      <c r="H61" s="239"/>
      <c r="I61" s="239"/>
      <c r="J61" s="239"/>
      <c r="K61" s="168"/>
      <c r="L61" s="52"/>
    </row>
    <row r="62" spans="1:15">
      <c r="A62" s="314"/>
      <c r="B62" s="186" t="s">
        <v>64</v>
      </c>
      <c r="C62" s="17"/>
      <c r="D62" s="16">
        <v>11477.3</v>
      </c>
      <c r="E62" s="183">
        <f>0.56*12</f>
        <v>6.7200000000000006</v>
      </c>
      <c r="F62" s="78">
        <f>D62*E62</f>
        <v>77127.456000000006</v>
      </c>
      <c r="G62" s="67" t="s">
        <v>371</v>
      </c>
      <c r="H62" s="249">
        <f>60.5+6.5+31</f>
        <v>98</v>
      </c>
      <c r="I62" s="249" t="s">
        <v>101</v>
      </c>
      <c r="J62" s="249"/>
      <c r="K62" s="150">
        <f>H62*530</f>
        <v>51940</v>
      </c>
      <c r="L62" s="91"/>
    </row>
    <row r="63" spans="1:15">
      <c r="A63" s="314"/>
      <c r="B63" s="186"/>
      <c r="C63" s="17"/>
      <c r="D63" s="16"/>
      <c r="E63" s="193"/>
      <c r="F63" s="78"/>
      <c r="G63" s="148" t="s">
        <v>67</v>
      </c>
      <c r="H63" s="240"/>
      <c r="I63" s="240"/>
      <c r="J63" s="240"/>
      <c r="K63" s="166"/>
      <c r="L63" s="91"/>
    </row>
    <row r="64" spans="1:15">
      <c r="A64" s="314"/>
      <c r="B64" s="186"/>
      <c r="C64" s="17"/>
      <c r="D64" s="16"/>
      <c r="E64" s="193"/>
      <c r="F64" s="78"/>
      <c r="G64" s="67" t="s">
        <v>328</v>
      </c>
      <c r="H64" s="249">
        <f>4*3.4</f>
        <v>13.6</v>
      </c>
      <c r="I64" s="249" t="s">
        <v>126</v>
      </c>
      <c r="J64" s="240"/>
      <c r="K64" s="150">
        <f>H64*2200</f>
        <v>29920</v>
      </c>
      <c r="L64" s="89"/>
    </row>
    <row r="65" spans="1:13" ht="12.75" customHeight="1">
      <c r="A65" s="314"/>
      <c r="B65" s="90"/>
      <c r="C65" s="315"/>
      <c r="D65" s="6"/>
      <c r="E65" s="15"/>
      <c r="F65" s="78"/>
      <c r="G65" s="26" t="s">
        <v>8</v>
      </c>
      <c r="H65" s="241"/>
      <c r="I65" s="241"/>
      <c r="J65" s="241"/>
      <c r="K65" s="152">
        <f>SUM(K62:K64)</f>
        <v>81860</v>
      </c>
      <c r="L65" s="314"/>
    </row>
    <row r="66" spans="1:13" ht="12.75" customHeight="1">
      <c r="A66" s="314"/>
      <c r="B66" s="2"/>
      <c r="C66" s="315"/>
      <c r="D66" s="6"/>
      <c r="E66" s="4"/>
      <c r="F66" s="78"/>
      <c r="G66" s="26" t="s">
        <v>9</v>
      </c>
      <c r="H66" s="241"/>
      <c r="I66" s="241"/>
      <c r="J66" s="241"/>
      <c r="K66" s="205">
        <f>F62-K65</f>
        <v>-4732.5439999999944</v>
      </c>
      <c r="L66" s="314"/>
    </row>
    <row r="67" spans="1:13" ht="12.75" customHeight="1">
      <c r="A67" s="22">
        <v>12</v>
      </c>
      <c r="B67" s="23" t="s">
        <v>21</v>
      </c>
      <c r="C67" s="24">
        <v>9</v>
      </c>
      <c r="D67" s="42"/>
      <c r="E67" s="40"/>
      <c r="F67" s="81"/>
      <c r="G67" s="54"/>
      <c r="H67" s="239"/>
      <c r="I67" s="239"/>
      <c r="J67" s="239"/>
      <c r="K67" s="157"/>
      <c r="L67" s="39"/>
    </row>
    <row r="68" spans="1:13">
      <c r="A68" s="29"/>
      <c r="B68" s="186" t="s">
        <v>64</v>
      </c>
      <c r="C68" s="197"/>
      <c r="D68" s="198">
        <v>12168.5</v>
      </c>
      <c r="E68" s="183">
        <f>0.57*12</f>
        <v>6.84</v>
      </c>
      <c r="F68" s="82">
        <f>D68*E68</f>
        <v>83232.539999999994</v>
      </c>
      <c r="G68" s="67" t="s">
        <v>246</v>
      </c>
      <c r="H68" s="249">
        <v>132</v>
      </c>
      <c r="I68" s="249" t="s">
        <v>101</v>
      </c>
      <c r="J68" s="249"/>
      <c r="K68" s="150">
        <f>H68*530</f>
        <v>69960</v>
      </c>
      <c r="L68" s="91"/>
    </row>
    <row r="69" spans="1:13" ht="12.75" customHeight="1">
      <c r="A69" s="29"/>
      <c r="B69" s="186"/>
      <c r="C69" s="197"/>
      <c r="D69" s="198"/>
      <c r="E69" s="193"/>
      <c r="F69" s="82"/>
      <c r="G69" s="149" t="s">
        <v>81</v>
      </c>
      <c r="H69" s="233"/>
      <c r="I69" s="233"/>
      <c r="J69" s="233"/>
      <c r="K69" s="150"/>
      <c r="L69" s="29"/>
    </row>
    <row r="70" spans="1:13" ht="12.75" customHeight="1">
      <c r="A70" s="314"/>
      <c r="B70" s="188"/>
      <c r="C70" s="17"/>
      <c r="D70" s="16"/>
      <c r="E70" s="16"/>
      <c r="F70" s="78"/>
      <c r="G70" s="26" t="s">
        <v>8</v>
      </c>
      <c r="H70" s="241"/>
      <c r="I70" s="241"/>
      <c r="J70" s="241"/>
      <c r="K70" s="152">
        <f>SUM(K68:K69)</f>
        <v>69960</v>
      </c>
      <c r="L70" s="314"/>
    </row>
    <row r="71" spans="1:13" ht="12.75" customHeight="1">
      <c r="A71" s="314"/>
      <c r="B71" s="188"/>
      <c r="C71" s="17"/>
      <c r="D71" s="16"/>
      <c r="E71" s="16"/>
      <c r="F71" s="78"/>
      <c r="G71" s="26" t="s">
        <v>9</v>
      </c>
      <c r="H71" s="241"/>
      <c r="I71" s="241"/>
      <c r="J71" s="241"/>
      <c r="K71" s="152">
        <f>F68-K70</f>
        <v>13272.539999999994</v>
      </c>
      <c r="L71" s="314"/>
    </row>
    <row r="72" spans="1:13" ht="12.75" customHeight="1">
      <c r="A72" s="22">
        <v>13</v>
      </c>
      <c r="B72" s="23" t="s">
        <v>21</v>
      </c>
      <c r="C72" s="24" t="s">
        <v>22</v>
      </c>
      <c r="D72" s="40"/>
      <c r="E72" s="40"/>
      <c r="F72" s="81"/>
      <c r="G72" s="54"/>
      <c r="H72" s="239"/>
      <c r="I72" s="239"/>
      <c r="J72" s="239"/>
      <c r="K72" s="157"/>
      <c r="L72" s="39"/>
    </row>
    <row r="73" spans="1:13" ht="24">
      <c r="A73" s="314"/>
      <c r="B73" s="186" t="s">
        <v>64</v>
      </c>
      <c r="C73" s="315"/>
      <c r="D73" s="16">
        <v>8087.9</v>
      </c>
      <c r="E73" s="183">
        <f>0.57*12</f>
        <v>6.84</v>
      </c>
      <c r="F73" s="78">
        <f>D73*E73</f>
        <v>55321.235999999997</v>
      </c>
      <c r="G73" s="67" t="s">
        <v>345</v>
      </c>
      <c r="H73" s="249">
        <f>17+25+26+99.5+55</f>
        <v>222.5</v>
      </c>
      <c r="I73" s="249" t="s">
        <v>101</v>
      </c>
      <c r="J73" s="249"/>
      <c r="K73" s="150">
        <f>H73*530</f>
        <v>117925</v>
      </c>
      <c r="L73" s="91" t="s">
        <v>288</v>
      </c>
    </row>
    <row r="74" spans="1:13">
      <c r="A74" s="314"/>
      <c r="B74" s="186"/>
      <c r="C74" s="315"/>
      <c r="D74" s="16"/>
      <c r="E74" s="183"/>
      <c r="F74" s="78"/>
      <c r="G74" s="148" t="s">
        <v>71</v>
      </c>
      <c r="H74" s="240">
        <v>15</v>
      </c>
      <c r="I74" s="240" t="s">
        <v>126</v>
      </c>
      <c r="J74" s="240">
        <v>25000</v>
      </c>
      <c r="K74" s="166"/>
      <c r="L74" s="91"/>
    </row>
    <row r="75" spans="1:13">
      <c r="A75" s="314"/>
      <c r="B75" s="186"/>
      <c r="C75" s="315"/>
      <c r="D75" s="16"/>
      <c r="E75" s="183"/>
      <c r="F75" s="78"/>
      <c r="G75" s="67" t="s">
        <v>206</v>
      </c>
      <c r="H75" s="249">
        <v>1</v>
      </c>
      <c r="I75" s="249" t="s">
        <v>150</v>
      </c>
      <c r="J75" s="249"/>
      <c r="K75" s="150">
        <f>4610*1.18</f>
        <v>5439.7999999999993</v>
      </c>
      <c r="L75" s="91"/>
    </row>
    <row r="76" spans="1:13">
      <c r="A76" s="314"/>
      <c r="B76" s="186"/>
      <c r="C76" s="315"/>
      <c r="D76" s="16"/>
      <c r="E76" s="183"/>
      <c r="F76" s="78"/>
      <c r="G76" s="25" t="s">
        <v>330</v>
      </c>
      <c r="H76" s="249">
        <v>3.4</v>
      </c>
      <c r="I76" s="249" t="s">
        <v>126</v>
      </c>
      <c r="J76" s="240"/>
      <c r="K76" s="150">
        <f>H76*2200</f>
        <v>7480</v>
      </c>
      <c r="L76" s="91"/>
    </row>
    <row r="77" spans="1:13" ht="12.75" customHeight="1">
      <c r="A77" s="314"/>
      <c r="B77" s="2"/>
      <c r="C77" s="315"/>
      <c r="D77" s="6"/>
      <c r="E77" s="4"/>
      <c r="F77" s="80"/>
      <c r="G77" s="26" t="s">
        <v>8</v>
      </c>
      <c r="H77" s="241"/>
      <c r="I77" s="241"/>
      <c r="J77" s="241"/>
      <c r="K77" s="152">
        <f>SUM(K73:K76)</f>
        <v>130844.8</v>
      </c>
      <c r="L77" s="314"/>
    </row>
    <row r="78" spans="1:13" ht="12.75" customHeight="1">
      <c r="A78" s="314"/>
      <c r="B78" s="2"/>
      <c r="C78" s="315"/>
      <c r="D78" s="6"/>
      <c r="E78" s="4"/>
      <c r="F78" s="78"/>
      <c r="G78" s="26" t="s">
        <v>9</v>
      </c>
      <c r="H78" s="241"/>
      <c r="I78" s="241"/>
      <c r="J78" s="241"/>
      <c r="K78" s="205">
        <f>F73-K77</f>
        <v>-75523.564000000013</v>
      </c>
      <c r="L78" s="314"/>
    </row>
    <row r="79" spans="1:13" ht="12.75" customHeight="1">
      <c r="A79" s="22">
        <v>14</v>
      </c>
      <c r="B79" s="23" t="s">
        <v>21</v>
      </c>
      <c r="C79" s="24" t="s">
        <v>23</v>
      </c>
      <c r="D79" s="42"/>
      <c r="E79" s="40"/>
      <c r="F79" s="81"/>
      <c r="G79" s="54"/>
      <c r="H79" s="239"/>
      <c r="I79" s="239"/>
      <c r="J79" s="239"/>
      <c r="K79" s="157"/>
      <c r="L79" s="39"/>
    </row>
    <row r="80" spans="1:13" ht="40.5" customHeight="1">
      <c r="A80" s="314"/>
      <c r="B80" s="186" t="s">
        <v>64</v>
      </c>
      <c r="C80" s="17"/>
      <c r="D80" s="16">
        <v>8583.9</v>
      </c>
      <c r="E80" s="183">
        <f>0.63*12</f>
        <v>7.5600000000000005</v>
      </c>
      <c r="F80" s="78">
        <f>D80*E80</f>
        <v>64894.284</v>
      </c>
      <c r="G80" s="148" t="s">
        <v>271</v>
      </c>
      <c r="H80" s="293">
        <f>1.5+3.2+30+13.6+3.2+3+6.5+26+22+26+10+9+7.2+7</f>
        <v>168.2</v>
      </c>
      <c r="I80" s="293" t="s">
        <v>101</v>
      </c>
      <c r="J80" s="293"/>
      <c r="K80" s="150">
        <f>H80*530</f>
        <v>89146</v>
      </c>
      <c r="L80" s="330" t="s">
        <v>84</v>
      </c>
      <c r="M80" s="331"/>
    </row>
    <row r="81" spans="1:15" ht="12.75" customHeight="1">
      <c r="A81" s="314"/>
      <c r="B81" s="186"/>
      <c r="C81" s="17"/>
      <c r="D81" s="16"/>
      <c r="E81" s="183"/>
      <c r="F81" s="78"/>
      <c r="G81" s="273" t="s">
        <v>329</v>
      </c>
      <c r="H81" s="274">
        <f>2*3.4</f>
        <v>6.8</v>
      </c>
      <c r="I81" s="274" t="s">
        <v>126</v>
      </c>
      <c r="J81" s="246"/>
      <c r="K81" s="150">
        <f>H81*2200</f>
        <v>14960</v>
      </c>
      <c r="L81" s="93"/>
    </row>
    <row r="82" spans="1:15" ht="12.75" customHeight="1">
      <c r="A82" s="314"/>
      <c r="B82" s="186"/>
      <c r="C82" s="17"/>
      <c r="D82" s="16"/>
      <c r="E82" s="183"/>
      <c r="F82" s="78"/>
      <c r="G82" s="273" t="s">
        <v>175</v>
      </c>
      <c r="H82" s="274">
        <v>135</v>
      </c>
      <c r="I82" s="274" t="s">
        <v>97</v>
      </c>
      <c r="J82" s="246"/>
      <c r="K82" s="150">
        <v>81102</v>
      </c>
      <c r="L82" s="93"/>
    </row>
    <row r="83" spans="1:15" ht="12.75" customHeight="1">
      <c r="A83" s="314"/>
      <c r="B83" s="188"/>
      <c r="C83" s="17"/>
      <c r="D83" s="18"/>
      <c r="E83" s="16"/>
      <c r="F83" s="78"/>
      <c r="G83" s="26" t="s">
        <v>8</v>
      </c>
      <c r="H83" s="241"/>
      <c r="I83" s="241"/>
      <c r="J83" s="241"/>
      <c r="K83" s="152">
        <f>SUM(K80:K81)</f>
        <v>104106</v>
      </c>
      <c r="L83" s="314"/>
    </row>
    <row r="84" spans="1:15" ht="12.75" customHeight="1">
      <c r="A84" s="314"/>
      <c r="B84" s="188"/>
      <c r="C84" s="17"/>
      <c r="D84" s="18"/>
      <c r="E84" s="16"/>
      <c r="F84" s="78"/>
      <c r="G84" s="26" t="s">
        <v>9</v>
      </c>
      <c r="H84" s="241"/>
      <c r="I84" s="241"/>
      <c r="J84" s="241"/>
      <c r="K84" s="205">
        <f>F80-K83</f>
        <v>-39211.716</v>
      </c>
      <c r="L84" s="314"/>
    </row>
    <row r="85" spans="1:15" ht="12.75" customHeight="1">
      <c r="A85" s="22">
        <v>15</v>
      </c>
      <c r="B85" s="23" t="s">
        <v>21</v>
      </c>
      <c r="C85" s="24" t="s">
        <v>19</v>
      </c>
      <c r="D85" s="42"/>
      <c r="E85" s="40"/>
      <c r="F85" s="81"/>
      <c r="G85" s="54"/>
      <c r="H85" s="239"/>
      <c r="I85" s="239"/>
      <c r="J85" s="239"/>
      <c r="K85" s="157"/>
      <c r="L85" s="39"/>
    </row>
    <row r="86" spans="1:15" ht="29.25" customHeight="1">
      <c r="A86" s="29"/>
      <c r="B86" s="186" t="s">
        <v>64</v>
      </c>
      <c r="C86" s="30"/>
      <c r="D86" s="198">
        <v>5085.5</v>
      </c>
      <c r="E86" s="183">
        <f>0.63*12</f>
        <v>7.5600000000000005</v>
      </c>
      <c r="F86" s="82">
        <f>D86*E86</f>
        <v>38446.380000000005</v>
      </c>
      <c r="G86" s="67" t="s">
        <v>368</v>
      </c>
      <c r="H86" s="249">
        <f>12.5+10</f>
        <v>22.5</v>
      </c>
      <c r="I86" s="249" t="s">
        <v>107</v>
      </c>
      <c r="J86" s="249"/>
      <c r="K86" s="150">
        <f>H86*530</f>
        <v>11925</v>
      </c>
      <c r="L86" s="91" t="s">
        <v>290</v>
      </c>
      <c r="M86" s="326"/>
      <c r="N86" s="327"/>
      <c r="O86" s="327"/>
    </row>
    <row r="87" spans="1:15">
      <c r="A87" s="29"/>
      <c r="B87" s="186"/>
      <c r="C87" s="30"/>
      <c r="D87" s="198"/>
      <c r="E87" s="183"/>
      <c r="F87" s="82"/>
      <c r="G87" s="273" t="s">
        <v>331</v>
      </c>
      <c r="H87" s="274">
        <v>3.4</v>
      </c>
      <c r="I87" s="274" t="s">
        <v>126</v>
      </c>
      <c r="J87" s="246"/>
      <c r="K87" s="150">
        <f>H87*2200</f>
        <v>7480</v>
      </c>
      <c r="L87" s="91"/>
      <c r="M87" s="317"/>
      <c r="N87" s="317"/>
      <c r="O87" s="204"/>
    </row>
    <row r="88" spans="1:15" ht="12.75" customHeight="1">
      <c r="A88" s="314"/>
      <c r="B88" s="2"/>
      <c r="C88" s="315"/>
      <c r="D88" s="6"/>
      <c r="E88" s="4"/>
      <c r="F88" s="80"/>
      <c r="G88" s="26" t="s">
        <v>8</v>
      </c>
      <c r="H88" s="241"/>
      <c r="I88" s="241"/>
      <c r="J88" s="241"/>
      <c r="K88" s="152">
        <f>SUM(K86:K87)</f>
        <v>19405</v>
      </c>
      <c r="L88" s="314"/>
    </row>
    <row r="89" spans="1:15" ht="12.75" customHeight="1">
      <c r="A89" s="314"/>
      <c r="B89" s="2"/>
      <c r="C89" s="315"/>
      <c r="D89" s="6"/>
      <c r="E89" s="4"/>
      <c r="F89" s="80"/>
      <c r="G89" s="26" t="s">
        <v>9</v>
      </c>
      <c r="H89" s="241"/>
      <c r="I89" s="241"/>
      <c r="J89" s="241"/>
      <c r="K89" s="152">
        <f>F86-K88</f>
        <v>19041.380000000005</v>
      </c>
      <c r="L89" s="314"/>
    </row>
    <row r="90" spans="1:15" ht="12.75" customHeight="1">
      <c r="A90" s="22">
        <v>16</v>
      </c>
      <c r="B90" s="23" t="s">
        <v>21</v>
      </c>
      <c r="C90" s="24" t="s">
        <v>24</v>
      </c>
      <c r="D90" s="42"/>
      <c r="E90" s="40"/>
      <c r="F90" s="81"/>
      <c r="G90" s="54"/>
      <c r="H90" s="239"/>
      <c r="I90" s="239"/>
      <c r="J90" s="239"/>
      <c r="K90" s="157"/>
      <c r="L90" s="39"/>
    </row>
    <row r="91" spans="1:15">
      <c r="A91" s="314"/>
      <c r="B91" s="186" t="s">
        <v>64</v>
      </c>
      <c r="C91" s="315"/>
      <c r="D91" s="16">
        <v>7044.5</v>
      </c>
      <c r="E91" s="183">
        <f>0.63*12</f>
        <v>7.5600000000000005</v>
      </c>
      <c r="F91" s="78">
        <f>D91*E91</f>
        <v>53256.420000000006</v>
      </c>
      <c r="G91" s="273" t="s">
        <v>366</v>
      </c>
      <c r="H91" s="274">
        <f>2*3.4</f>
        <v>6.8</v>
      </c>
      <c r="I91" s="274" t="s">
        <v>126</v>
      </c>
      <c r="J91" s="246"/>
      <c r="K91" s="150">
        <f>H91*2200</f>
        <v>14960</v>
      </c>
      <c r="L91" s="10"/>
    </row>
    <row r="92" spans="1:15" ht="24">
      <c r="A92" s="314"/>
      <c r="B92" s="33"/>
      <c r="C92" s="315"/>
      <c r="D92" s="6"/>
      <c r="E92" s="74"/>
      <c r="F92" s="80"/>
      <c r="G92" s="67" t="s">
        <v>367</v>
      </c>
      <c r="H92" s="293">
        <f>11+8+118</f>
        <v>137</v>
      </c>
      <c r="I92" s="293" t="s">
        <v>107</v>
      </c>
      <c r="J92" s="310">
        <f>(6+39)*530</f>
        <v>23850</v>
      </c>
      <c r="K92" s="150">
        <f>H92*530</f>
        <v>72610</v>
      </c>
      <c r="L92" s="91" t="s">
        <v>320</v>
      </c>
    </row>
    <row r="93" spans="1:15">
      <c r="A93" s="314"/>
      <c r="B93" s="33"/>
      <c r="C93" s="315"/>
      <c r="D93" s="6"/>
      <c r="E93" s="74"/>
      <c r="F93" s="80"/>
      <c r="G93" s="148" t="s">
        <v>362</v>
      </c>
      <c r="H93" s="240"/>
      <c r="I93" s="240"/>
      <c r="J93" s="240"/>
      <c r="K93" s="150"/>
      <c r="L93" s="91"/>
    </row>
    <row r="94" spans="1:15" ht="12.75" customHeight="1">
      <c r="A94" s="314"/>
      <c r="B94" s="2"/>
      <c r="C94" s="315"/>
      <c r="D94" s="6"/>
      <c r="E94" s="4"/>
      <c r="F94" s="80"/>
      <c r="G94" s="26" t="s">
        <v>8</v>
      </c>
      <c r="H94" s="241"/>
      <c r="I94" s="241"/>
      <c r="J94" s="241"/>
      <c r="K94" s="152">
        <f>SUM(K91:K92)</f>
        <v>87570</v>
      </c>
      <c r="L94" s="314"/>
    </row>
    <row r="95" spans="1:15" ht="12.75" customHeight="1">
      <c r="A95" s="314"/>
      <c r="B95" s="2"/>
      <c r="C95" s="315"/>
      <c r="D95" s="6"/>
      <c r="E95" s="4"/>
      <c r="F95" s="78"/>
      <c r="G95" s="26" t="s">
        <v>9</v>
      </c>
      <c r="H95" s="241"/>
      <c r="I95" s="241"/>
      <c r="J95" s="241"/>
      <c r="K95" s="205">
        <f>F91-K94</f>
        <v>-34313.579999999994</v>
      </c>
      <c r="L95" s="314"/>
    </row>
    <row r="96" spans="1:15" ht="12.75" customHeight="1">
      <c r="A96" s="22">
        <v>17</v>
      </c>
      <c r="B96" s="23" t="s">
        <v>21</v>
      </c>
      <c r="C96" s="24" t="s">
        <v>25</v>
      </c>
      <c r="D96" s="42"/>
      <c r="E96" s="40"/>
      <c r="F96" s="81"/>
      <c r="G96" s="54"/>
      <c r="H96" s="239"/>
      <c r="I96" s="239"/>
      <c r="J96" s="239"/>
      <c r="K96" s="157"/>
      <c r="L96" s="39"/>
    </row>
    <row r="97" spans="1:13" ht="12.75" customHeight="1">
      <c r="A97" s="314"/>
      <c r="B97" s="186" t="s">
        <v>64</v>
      </c>
      <c r="C97" s="315"/>
      <c r="D97" s="18">
        <v>7107.8</v>
      </c>
      <c r="E97" s="183">
        <f>0.63*12</f>
        <v>7.5600000000000005</v>
      </c>
      <c r="F97" s="78">
        <f>D97*E97</f>
        <v>53734.968000000008</v>
      </c>
      <c r="G97" s="149" t="s">
        <v>81</v>
      </c>
      <c r="H97" s="233"/>
      <c r="I97" s="233"/>
      <c r="J97" s="233"/>
      <c r="K97" s="150"/>
      <c r="L97" s="173"/>
    </row>
    <row r="98" spans="1:13">
      <c r="A98" s="314"/>
      <c r="B98" s="33"/>
      <c r="C98" s="315"/>
      <c r="D98" s="6"/>
      <c r="E98" s="12"/>
      <c r="F98" s="80"/>
      <c r="G98" s="67" t="s">
        <v>245</v>
      </c>
      <c r="H98" s="249">
        <v>31.5</v>
      </c>
      <c r="I98" s="249" t="s">
        <v>107</v>
      </c>
      <c r="J98" s="249"/>
      <c r="K98" s="150">
        <f>H98*530</f>
        <v>16695</v>
      </c>
      <c r="L98" s="91"/>
    </row>
    <row r="99" spans="1:13">
      <c r="A99" s="314"/>
      <c r="B99" s="33"/>
      <c r="C99" s="315"/>
      <c r="D99" s="6"/>
      <c r="E99" s="12"/>
      <c r="F99" s="80"/>
      <c r="G99" s="148" t="s">
        <v>82</v>
      </c>
      <c r="H99" s="240"/>
      <c r="I99" s="240"/>
      <c r="J99" s="240"/>
      <c r="K99" s="166"/>
      <c r="L99" s="91"/>
    </row>
    <row r="100" spans="1:13">
      <c r="A100" s="314"/>
      <c r="B100" s="33"/>
      <c r="C100" s="315"/>
      <c r="D100" s="6"/>
      <c r="E100" s="12"/>
      <c r="F100" s="80"/>
      <c r="G100" s="148" t="s">
        <v>372</v>
      </c>
      <c r="H100" s="240">
        <v>45</v>
      </c>
      <c r="I100" s="240" t="s">
        <v>101</v>
      </c>
      <c r="J100" s="240"/>
      <c r="K100" s="166">
        <f>15527.42+31996*1.18</f>
        <v>53282.7</v>
      </c>
      <c r="L100" s="91" t="s">
        <v>185</v>
      </c>
    </row>
    <row r="101" spans="1:13" ht="12.75" customHeight="1">
      <c r="A101" s="314"/>
      <c r="B101" s="2"/>
      <c r="C101" s="315"/>
      <c r="D101" s="6"/>
      <c r="E101" s="4"/>
      <c r="F101" s="78"/>
      <c r="G101" s="26" t="s">
        <v>8</v>
      </c>
      <c r="H101" s="241"/>
      <c r="I101" s="241"/>
      <c r="J101" s="241"/>
      <c r="K101" s="152">
        <f>SUM(K97:K100)</f>
        <v>69977.7</v>
      </c>
      <c r="L101" s="314"/>
    </row>
    <row r="102" spans="1:13" ht="12.75" customHeight="1">
      <c r="A102" s="314"/>
      <c r="B102" s="2"/>
      <c r="C102" s="315"/>
      <c r="D102" s="6"/>
      <c r="E102" s="4"/>
      <c r="F102" s="78"/>
      <c r="G102" s="26" t="s">
        <v>9</v>
      </c>
      <c r="H102" s="241"/>
      <c r="I102" s="241"/>
      <c r="J102" s="241"/>
      <c r="K102" s="205">
        <f>F97-K101</f>
        <v>-16242.731999999989</v>
      </c>
      <c r="L102" s="314"/>
    </row>
    <row r="103" spans="1:13" ht="12.75" customHeight="1">
      <c r="A103" s="22">
        <v>18</v>
      </c>
      <c r="B103" s="23" t="s">
        <v>21</v>
      </c>
      <c r="C103" s="24" t="s">
        <v>26</v>
      </c>
      <c r="D103" s="42"/>
      <c r="E103" s="40"/>
      <c r="F103" s="81"/>
      <c r="G103" s="54"/>
      <c r="H103" s="239"/>
      <c r="I103" s="239"/>
      <c r="J103" s="239"/>
      <c r="K103" s="157"/>
      <c r="L103" s="39"/>
    </row>
    <row r="104" spans="1:13">
      <c r="A104" s="314"/>
      <c r="B104" s="186" t="s">
        <v>64</v>
      </c>
      <c r="C104" s="17"/>
      <c r="D104" s="16">
        <v>4795.3</v>
      </c>
      <c r="E104" s="183">
        <f>0.63*12</f>
        <v>7.5600000000000005</v>
      </c>
      <c r="F104" s="78">
        <f>E104*D104</f>
        <v>36252.468000000001</v>
      </c>
      <c r="G104" s="67" t="s">
        <v>365</v>
      </c>
      <c r="H104" s="249">
        <v>5</v>
      </c>
      <c r="I104" s="249" t="s">
        <v>107</v>
      </c>
      <c r="J104" s="249">
        <f>5*530</f>
        <v>2650</v>
      </c>
      <c r="K104" s="150">
        <f>H104*530</f>
        <v>2650</v>
      </c>
      <c r="L104" s="91"/>
    </row>
    <row r="105" spans="1:13" ht="12.75" customHeight="1">
      <c r="A105" s="314"/>
      <c r="B105" s="188"/>
      <c r="C105" s="17"/>
      <c r="D105" s="18"/>
      <c r="E105" s="16"/>
      <c r="F105" s="78"/>
      <c r="G105" s="26" t="s">
        <v>8</v>
      </c>
      <c r="H105" s="241"/>
      <c r="I105" s="241"/>
      <c r="J105" s="241"/>
      <c r="K105" s="152">
        <f>SUM(K104:K104)</f>
        <v>2650</v>
      </c>
      <c r="L105" s="314"/>
    </row>
    <row r="106" spans="1:13" ht="12.75" customHeight="1">
      <c r="A106" s="314"/>
      <c r="B106" s="188"/>
      <c r="C106" s="17"/>
      <c r="D106" s="18"/>
      <c r="E106" s="16"/>
      <c r="F106" s="199"/>
      <c r="G106" s="26" t="s">
        <v>9</v>
      </c>
      <c r="H106" s="241"/>
      <c r="I106" s="241"/>
      <c r="J106" s="241"/>
      <c r="K106" s="152">
        <f>F104-K105</f>
        <v>33602.468000000001</v>
      </c>
      <c r="L106" s="314"/>
    </row>
    <row r="107" spans="1:13" ht="12.75" customHeight="1">
      <c r="A107" s="22">
        <v>19</v>
      </c>
      <c r="B107" s="23" t="s">
        <v>21</v>
      </c>
      <c r="C107" s="24" t="s">
        <v>27</v>
      </c>
      <c r="D107" s="42"/>
      <c r="E107" s="40"/>
      <c r="F107" s="81"/>
      <c r="G107" s="55"/>
      <c r="H107" s="248"/>
      <c r="I107" s="248"/>
      <c r="J107" s="248"/>
      <c r="K107" s="157"/>
      <c r="L107" s="39"/>
    </row>
    <row r="108" spans="1:13" ht="36">
      <c r="A108" s="314"/>
      <c r="B108" s="186" t="s">
        <v>64</v>
      </c>
      <c r="C108" s="315"/>
      <c r="D108" s="16">
        <v>5509.6</v>
      </c>
      <c r="E108" s="183">
        <f>0.63*12</f>
        <v>7.5600000000000005</v>
      </c>
      <c r="F108" s="78">
        <f>D108*E108</f>
        <v>41652.576000000008</v>
      </c>
      <c r="G108" s="148" t="s">
        <v>272</v>
      </c>
      <c r="H108" s="293">
        <f>3.2+6.4+14.4+3.2+9+6.4+8+13+12+2+3.2+12.9+5.6+3.2</f>
        <v>102.5</v>
      </c>
      <c r="I108" s="293" t="s">
        <v>101</v>
      </c>
      <c r="J108" s="293"/>
      <c r="K108" s="150">
        <f>H108*530</f>
        <v>54325</v>
      </c>
      <c r="L108" s="91"/>
    </row>
    <row r="109" spans="1:13" ht="12.75" customHeight="1">
      <c r="A109" s="314"/>
      <c r="B109" s="2"/>
      <c r="C109" s="315"/>
      <c r="D109" s="6"/>
      <c r="E109" s="4"/>
      <c r="F109" s="80"/>
      <c r="G109" s="26" t="s">
        <v>8</v>
      </c>
      <c r="H109" s="241"/>
      <c r="I109" s="241"/>
      <c r="J109" s="241"/>
      <c r="K109" s="152">
        <f>SUM(K108:K108)</f>
        <v>54325</v>
      </c>
      <c r="L109" s="314"/>
    </row>
    <row r="110" spans="1:13" ht="12.75" customHeight="1">
      <c r="A110" s="314"/>
      <c r="B110" s="2"/>
      <c r="C110" s="315"/>
      <c r="D110" s="6"/>
      <c r="E110" s="4"/>
      <c r="F110" s="78"/>
      <c r="G110" s="26" t="s">
        <v>9</v>
      </c>
      <c r="H110" s="241"/>
      <c r="I110" s="241"/>
      <c r="J110" s="241"/>
      <c r="K110" s="205">
        <f>F108-K109</f>
        <v>-12672.423999999992</v>
      </c>
      <c r="L110" s="314"/>
    </row>
    <row r="111" spans="1:13" ht="12.75" customHeight="1">
      <c r="A111" s="22">
        <v>20</v>
      </c>
      <c r="B111" s="23" t="s">
        <v>28</v>
      </c>
      <c r="C111" s="24" t="s">
        <v>29</v>
      </c>
      <c r="D111" s="42"/>
      <c r="E111" s="40"/>
      <c r="F111" s="81"/>
      <c r="G111" s="54"/>
      <c r="H111" s="239"/>
      <c r="I111" s="239"/>
      <c r="J111" s="239"/>
      <c r="K111" s="157"/>
      <c r="L111" s="39"/>
    </row>
    <row r="112" spans="1:13">
      <c r="A112" s="29"/>
      <c r="B112" s="186" t="s">
        <v>64</v>
      </c>
      <c r="C112" s="30"/>
      <c r="D112" s="16">
        <v>8626.1</v>
      </c>
      <c r="E112" s="183">
        <f>0.63*12</f>
        <v>7.5600000000000005</v>
      </c>
      <c r="F112" s="78">
        <f>D112*E112</f>
        <v>65213.316000000006</v>
      </c>
      <c r="G112" s="256" t="s">
        <v>251</v>
      </c>
      <c r="H112" s="247">
        <v>7</v>
      </c>
      <c r="I112" s="247" t="s">
        <v>107</v>
      </c>
      <c r="J112" s="247"/>
      <c r="K112" s="150">
        <f>H112*530</f>
        <v>3710</v>
      </c>
      <c r="L112" s="91"/>
      <c r="M112" s="136"/>
    </row>
    <row r="113" spans="1:14">
      <c r="A113" s="29"/>
      <c r="B113" s="186"/>
      <c r="C113" s="30"/>
      <c r="D113" s="16"/>
      <c r="E113" s="183"/>
      <c r="F113" s="78"/>
      <c r="G113" s="256" t="s">
        <v>262</v>
      </c>
      <c r="H113" s="247">
        <v>3.4</v>
      </c>
      <c r="I113" s="247" t="s">
        <v>126</v>
      </c>
      <c r="J113" s="229"/>
      <c r="K113" s="150">
        <f>1864.41*3.4*1.18</f>
        <v>7480.0129199999992</v>
      </c>
      <c r="L113" s="91"/>
    </row>
    <row r="114" spans="1:14" ht="12.75" customHeight="1">
      <c r="A114" s="314"/>
      <c r="B114" s="2"/>
      <c r="C114" s="315"/>
      <c r="D114" s="6"/>
      <c r="E114" s="4"/>
      <c r="F114" s="78"/>
      <c r="G114" s="26" t="s">
        <v>8</v>
      </c>
      <c r="H114" s="241"/>
      <c r="I114" s="241"/>
      <c r="J114" s="241"/>
      <c r="K114" s="152">
        <f>SUM(K112:K113)</f>
        <v>11190.012919999999</v>
      </c>
      <c r="L114" s="314"/>
    </row>
    <row r="115" spans="1:14" ht="12.75" customHeight="1">
      <c r="A115" s="314"/>
      <c r="B115" s="2"/>
      <c r="C115" s="315"/>
      <c r="D115" s="6"/>
      <c r="E115" s="4"/>
      <c r="F115" s="80"/>
      <c r="G115" s="26" t="s">
        <v>9</v>
      </c>
      <c r="H115" s="241"/>
      <c r="I115" s="241"/>
      <c r="J115" s="241"/>
      <c r="K115" s="152">
        <f>F112-K114</f>
        <v>54023.303080000005</v>
      </c>
      <c r="L115" s="16"/>
    </row>
    <row r="116" spans="1:14" ht="12.75" customHeight="1">
      <c r="A116" s="22">
        <v>21</v>
      </c>
      <c r="B116" s="23" t="s">
        <v>28</v>
      </c>
      <c r="C116" s="24" t="s">
        <v>24</v>
      </c>
      <c r="D116" s="42"/>
      <c r="E116" s="40"/>
      <c r="F116" s="81"/>
      <c r="G116" s="41"/>
      <c r="H116" s="235"/>
      <c r="I116" s="235"/>
      <c r="J116" s="235"/>
      <c r="K116" s="160"/>
      <c r="L116" s="39"/>
    </row>
    <row r="117" spans="1:14" ht="24">
      <c r="A117" s="314"/>
      <c r="B117" s="186" t="s">
        <v>64</v>
      </c>
      <c r="C117" s="17"/>
      <c r="D117" s="16">
        <v>10229.1</v>
      </c>
      <c r="E117" s="183">
        <f>0.63*12</f>
        <v>7.5600000000000005</v>
      </c>
      <c r="F117" s="78">
        <f>D117*E117</f>
        <v>77331.996000000014</v>
      </c>
      <c r="G117" s="67" t="s">
        <v>369</v>
      </c>
      <c r="H117" s="249">
        <f>(15+13)+3+21.2+7.4+4+3.2+3+13+33</f>
        <v>115.8</v>
      </c>
      <c r="I117" s="249" t="s">
        <v>101</v>
      </c>
      <c r="J117" s="240"/>
      <c r="K117" s="150">
        <f>H117*530</f>
        <v>61374</v>
      </c>
      <c r="L117" s="91"/>
      <c r="M117" s="95"/>
      <c r="N117" s="95"/>
    </row>
    <row r="118" spans="1:14">
      <c r="A118" s="314"/>
      <c r="B118" s="186"/>
      <c r="C118" s="17"/>
      <c r="D118" s="16"/>
      <c r="E118" s="193"/>
      <c r="F118" s="78"/>
      <c r="G118" s="67" t="s">
        <v>94</v>
      </c>
      <c r="H118" s="249">
        <v>3.4</v>
      </c>
      <c r="I118" s="249" t="s">
        <v>126</v>
      </c>
      <c r="J118" s="249"/>
      <c r="K118" s="150">
        <f>3.4*2200</f>
        <v>7480</v>
      </c>
      <c r="L118" s="91"/>
      <c r="M118" s="95"/>
      <c r="N118" s="95"/>
    </row>
    <row r="119" spans="1:14">
      <c r="A119" s="314"/>
      <c r="B119" s="186"/>
      <c r="C119" s="17"/>
      <c r="D119" s="16"/>
      <c r="E119" s="193"/>
      <c r="F119" s="78"/>
      <c r="G119" s="148" t="s">
        <v>308</v>
      </c>
      <c r="H119" s="240">
        <f>1+2</f>
        <v>3</v>
      </c>
      <c r="I119" s="240" t="s">
        <v>126</v>
      </c>
      <c r="J119" s="240"/>
      <c r="K119" s="166"/>
      <c r="L119" s="91"/>
      <c r="M119" s="95"/>
      <c r="N119" s="95"/>
    </row>
    <row r="120" spans="1:14" ht="12.75" customHeight="1">
      <c r="A120" s="314"/>
      <c r="B120" s="7"/>
      <c r="C120" s="315"/>
      <c r="D120" s="6"/>
      <c r="E120" s="4"/>
      <c r="F120" s="80"/>
      <c r="G120" s="26" t="s">
        <v>8</v>
      </c>
      <c r="H120" s="241"/>
      <c r="I120" s="241"/>
      <c r="J120" s="241"/>
      <c r="K120" s="152">
        <f>SUM(K117:K118)</f>
        <v>68854</v>
      </c>
      <c r="L120" s="314"/>
    </row>
    <row r="121" spans="1:14" ht="12.75" customHeight="1">
      <c r="A121" s="314"/>
      <c r="B121" s="7"/>
      <c r="C121" s="315"/>
      <c r="D121" s="6"/>
      <c r="E121" s="4"/>
      <c r="F121" s="78"/>
      <c r="G121" s="26" t="s">
        <v>9</v>
      </c>
      <c r="H121" s="241"/>
      <c r="I121" s="241"/>
      <c r="J121" s="241"/>
      <c r="K121" s="152">
        <f>F117-K120</f>
        <v>8477.9960000000137</v>
      </c>
      <c r="L121" s="314"/>
    </row>
    <row r="122" spans="1:14" ht="12.75" customHeight="1">
      <c r="A122" s="22">
        <v>22</v>
      </c>
      <c r="B122" s="23" t="s">
        <v>28</v>
      </c>
      <c r="C122" s="24" t="s">
        <v>25</v>
      </c>
      <c r="D122" s="42"/>
      <c r="E122" s="40"/>
      <c r="F122" s="81"/>
      <c r="G122" s="41"/>
      <c r="H122" s="235"/>
      <c r="I122" s="235"/>
      <c r="J122" s="235"/>
      <c r="K122" s="160"/>
      <c r="L122" s="22"/>
    </row>
    <row r="123" spans="1:14" ht="24">
      <c r="A123" s="314"/>
      <c r="B123" s="186" t="s">
        <v>64</v>
      </c>
      <c r="C123" s="315"/>
      <c r="D123" s="16">
        <v>5056.5</v>
      </c>
      <c r="E123" s="183">
        <f>0.63*12</f>
        <v>7.5600000000000005</v>
      </c>
      <c r="F123" s="78">
        <f>D123*E123</f>
        <v>38227.14</v>
      </c>
      <c r="G123" s="67" t="s">
        <v>370</v>
      </c>
      <c r="H123" s="293">
        <f>13.5+16+15.6+25+14.6+12.6+22</f>
        <v>119.29999999999998</v>
      </c>
      <c r="I123" s="293" t="s">
        <v>101</v>
      </c>
      <c r="J123" s="310"/>
      <c r="K123" s="150">
        <f>H123*530</f>
        <v>63228.999999999993</v>
      </c>
      <c r="L123" s="91" t="s">
        <v>294</v>
      </c>
    </row>
    <row r="124" spans="1:14" ht="12.75" customHeight="1">
      <c r="A124" s="314"/>
      <c r="B124" s="7"/>
      <c r="C124" s="315"/>
      <c r="D124" s="6"/>
      <c r="E124" s="4"/>
      <c r="F124" s="80"/>
      <c r="G124" s="26" t="s">
        <v>8</v>
      </c>
      <c r="H124" s="241"/>
      <c r="I124" s="241"/>
      <c r="J124" s="241"/>
      <c r="K124" s="152">
        <f>SUM(K123:K123)</f>
        <v>63228.999999999993</v>
      </c>
      <c r="L124" s="314"/>
    </row>
    <row r="125" spans="1:14" ht="12.75" customHeight="1">
      <c r="A125" s="314"/>
      <c r="B125" s="7"/>
      <c r="C125" s="315"/>
      <c r="D125" s="6"/>
      <c r="E125" s="4"/>
      <c r="F125" s="78"/>
      <c r="G125" s="26" t="s">
        <v>9</v>
      </c>
      <c r="H125" s="241"/>
      <c r="I125" s="241"/>
      <c r="J125" s="241"/>
      <c r="K125" s="205">
        <f>F123-K124</f>
        <v>-25001.859999999993</v>
      </c>
      <c r="L125" s="314"/>
    </row>
    <row r="126" spans="1:14" ht="12.75" customHeight="1">
      <c r="A126" s="22">
        <v>23</v>
      </c>
      <c r="B126" s="23" t="s">
        <v>30</v>
      </c>
      <c r="C126" s="24" t="s">
        <v>31</v>
      </c>
      <c r="D126" s="45"/>
      <c r="E126" s="46"/>
      <c r="F126" s="81"/>
      <c r="G126" s="41"/>
      <c r="H126" s="235"/>
      <c r="I126" s="235"/>
      <c r="J126" s="235"/>
      <c r="K126" s="160"/>
      <c r="L126" s="22"/>
    </row>
    <row r="127" spans="1:14" ht="24" customHeight="1">
      <c r="A127" s="314"/>
      <c r="B127" s="186" t="s">
        <v>64</v>
      </c>
      <c r="C127" s="315"/>
      <c r="D127" s="16">
        <v>10321.5</v>
      </c>
      <c r="E127" s="183">
        <f>0.57*12</f>
        <v>6.84</v>
      </c>
      <c r="F127" s="78">
        <f>D127*E127</f>
        <v>70599.06</v>
      </c>
      <c r="G127" s="67" t="s">
        <v>347</v>
      </c>
      <c r="H127" s="249">
        <f>7+10+6+15+26</f>
        <v>64</v>
      </c>
      <c r="I127" s="249" t="s">
        <v>101</v>
      </c>
      <c r="J127" s="249"/>
      <c r="K127" s="150">
        <f>H127*530</f>
        <v>33920</v>
      </c>
      <c r="L127" s="91"/>
    </row>
    <row r="128" spans="1:14" ht="12.75" customHeight="1">
      <c r="A128" s="314"/>
      <c r="B128" s="186"/>
      <c r="C128" s="315"/>
      <c r="D128" s="16"/>
      <c r="E128" s="183"/>
      <c r="F128" s="78"/>
      <c r="G128" s="67" t="s">
        <v>332</v>
      </c>
      <c r="H128" s="249">
        <f>2*3.4</f>
        <v>6.8</v>
      </c>
      <c r="I128" s="249" t="s">
        <v>126</v>
      </c>
      <c r="J128" s="249"/>
      <c r="K128" s="150">
        <f>H128*2200</f>
        <v>14960</v>
      </c>
      <c r="L128" s="91"/>
    </row>
    <row r="129" spans="1:19" ht="12.75" customHeight="1">
      <c r="A129" s="314"/>
      <c r="B129" s="7"/>
      <c r="C129" s="315"/>
      <c r="D129" s="6"/>
      <c r="E129" s="4"/>
      <c r="F129" s="80"/>
      <c r="G129" s="26" t="s">
        <v>8</v>
      </c>
      <c r="H129" s="241"/>
      <c r="I129" s="241"/>
      <c r="J129" s="241"/>
      <c r="K129" s="152">
        <f>SUM(K127:K128)</f>
        <v>48880</v>
      </c>
      <c r="L129" s="314"/>
    </row>
    <row r="130" spans="1:19" ht="12.75" customHeight="1">
      <c r="A130" s="314"/>
      <c r="B130" s="7"/>
      <c r="C130" s="315"/>
      <c r="D130" s="6"/>
      <c r="E130" s="4"/>
      <c r="F130" s="78"/>
      <c r="G130" s="26" t="s">
        <v>9</v>
      </c>
      <c r="H130" s="241"/>
      <c r="I130" s="241"/>
      <c r="J130" s="241"/>
      <c r="K130" s="152">
        <f>F127-K129</f>
        <v>21719.059999999998</v>
      </c>
      <c r="L130" s="314"/>
    </row>
    <row r="131" spans="1:19" ht="15" customHeight="1">
      <c r="A131" s="22">
        <v>24</v>
      </c>
      <c r="B131" s="31" t="s">
        <v>30</v>
      </c>
      <c r="C131" s="24" t="s">
        <v>32</v>
      </c>
      <c r="D131" s="42"/>
      <c r="E131" s="40"/>
      <c r="F131" s="81"/>
      <c r="G131" s="56"/>
      <c r="H131" s="236"/>
      <c r="I131" s="236"/>
      <c r="J131" s="236"/>
      <c r="K131" s="160"/>
      <c r="L131" s="22"/>
    </row>
    <row r="132" spans="1:19" ht="15" customHeight="1">
      <c r="A132" s="314"/>
      <c r="B132" s="186" t="s">
        <v>64</v>
      </c>
      <c r="C132" s="315"/>
      <c r="D132" s="16">
        <v>8577</v>
      </c>
      <c r="E132" s="183">
        <f>0.57*12</f>
        <v>6.84</v>
      </c>
      <c r="F132" s="78">
        <f>D132*E132</f>
        <v>58666.68</v>
      </c>
      <c r="G132" s="67" t="s">
        <v>346</v>
      </c>
      <c r="H132" s="249">
        <f>15+13+9+12+14+4+27+40+9.6</f>
        <v>143.6</v>
      </c>
      <c r="I132" s="249" t="s">
        <v>101</v>
      </c>
      <c r="J132" s="249"/>
      <c r="K132" s="150">
        <f>H132*530</f>
        <v>76108</v>
      </c>
      <c r="L132" s="91"/>
    </row>
    <row r="133" spans="1:19" ht="15" customHeight="1">
      <c r="A133" s="314"/>
      <c r="B133" s="186"/>
      <c r="C133" s="315"/>
      <c r="D133" s="16"/>
      <c r="E133" s="183"/>
      <c r="F133" s="78"/>
      <c r="G133" s="148" t="s">
        <v>70</v>
      </c>
      <c r="H133" s="240">
        <v>3</v>
      </c>
      <c r="I133" s="240" t="s">
        <v>126</v>
      </c>
      <c r="J133" s="240">
        <v>5000</v>
      </c>
      <c r="K133" s="166"/>
      <c r="L133" s="91"/>
    </row>
    <row r="134" spans="1:19" ht="15" customHeight="1">
      <c r="A134" s="314"/>
      <c r="B134" s="186"/>
      <c r="C134" s="315"/>
      <c r="D134" s="16"/>
      <c r="E134" s="183"/>
      <c r="F134" s="78"/>
      <c r="G134" s="67" t="s">
        <v>333</v>
      </c>
      <c r="H134" s="249">
        <f>2*3.4</f>
        <v>6.8</v>
      </c>
      <c r="I134" s="249" t="s">
        <v>126</v>
      </c>
      <c r="J134" s="249"/>
      <c r="K134" s="150">
        <f>H134*2200</f>
        <v>14960</v>
      </c>
      <c r="L134" s="91"/>
    </row>
    <row r="135" spans="1:19" ht="15" customHeight="1">
      <c r="A135" s="314"/>
      <c r="B135" s="186"/>
      <c r="C135" s="315"/>
      <c r="D135" s="16"/>
      <c r="E135" s="183"/>
      <c r="F135" s="78"/>
      <c r="G135" s="149" t="s">
        <v>303</v>
      </c>
      <c r="H135" s="233"/>
      <c r="I135" s="233" t="s">
        <v>126</v>
      </c>
      <c r="J135" s="233"/>
      <c r="K135" s="150"/>
      <c r="L135" s="91"/>
    </row>
    <row r="136" spans="1:19" ht="15" customHeight="1">
      <c r="A136" s="314"/>
      <c r="B136" s="7"/>
      <c r="C136" s="315"/>
      <c r="D136" s="6"/>
      <c r="E136" s="4"/>
      <c r="F136" s="80"/>
      <c r="G136" s="26" t="s">
        <v>8</v>
      </c>
      <c r="H136" s="241"/>
      <c r="I136" s="241"/>
      <c r="J136" s="241"/>
      <c r="K136" s="152">
        <f>SUM(K132:K134)</f>
        <v>91068</v>
      </c>
      <c r="L136" s="314"/>
    </row>
    <row r="137" spans="1:19" ht="15" customHeight="1">
      <c r="A137" s="314"/>
      <c r="B137" s="7"/>
      <c r="C137" s="315"/>
      <c r="D137" s="6"/>
      <c r="E137" s="4"/>
      <c r="F137" s="78"/>
      <c r="G137" s="26" t="s">
        <v>9</v>
      </c>
      <c r="H137" s="241"/>
      <c r="I137" s="241"/>
      <c r="J137" s="241"/>
      <c r="K137" s="205">
        <f>F132-K136</f>
        <v>-32401.32</v>
      </c>
      <c r="L137" s="314"/>
    </row>
    <row r="138" spans="1:19" ht="12.75" customHeight="1">
      <c r="A138" s="22">
        <v>25</v>
      </c>
      <c r="B138" s="31" t="s">
        <v>30</v>
      </c>
      <c r="C138" s="24" t="s">
        <v>33</v>
      </c>
      <c r="D138" s="45"/>
      <c r="E138" s="46"/>
      <c r="F138" s="81"/>
      <c r="G138" s="56"/>
      <c r="H138" s="236"/>
      <c r="I138" s="236"/>
      <c r="J138" s="236"/>
      <c r="K138" s="160"/>
      <c r="L138" s="22"/>
    </row>
    <row r="139" spans="1:19" s="107" customFormat="1">
      <c r="A139" s="222"/>
      <c r="B139" s="212" t="s">
        <v>64</v>
      </c>
      <c r="C139" s="223"/>
      <c r="D139" s="195">
        <v>7175.43</v>
      </c>
      <c r="E139" s="213">
        <f>0.63*12</f>
        <v>7.5600000000000005</v>
      </c>
      <c r="F139" s="88">
        <f>D139*E139</f>
        <v>54246.250800000009</v>
      </c>
      <c r="G139" s="67" t="s">
        <v>352</v>
      </c>
      <c r="H139" s="249">
        <f>7+7+87+6</f>
        <v>107</v>
      </c>
      <c r="I139" s="249" t="s">
        <v>101</v>
      </c>
      <c r="J139" s="240"/>
      <c r="K139" s="158">
        <f>H139*530</f>
        <v>56710</v>
      </c>
      <c r="L139" s="93"/>
      <c r="S139" s="129"/>
    </row>
    <row r="140" spans="1:19" s="107" customFormat="1">
      <c r="A140" s="222"/>
      <c r="B140" s="212"/>
      <c r="C140" s="223"/>
      <c r="D140" s="195"/>
      <c r="E140" s="213"/>
      <c r="F140" s="88"/>
      <c r="G140" s="67" t="s">
        <v>334</v>
      </c>
      <c r="H140" s="249">
        <f>3*3.4</f>
        <v>10.199999999999999</v>
      </c>
      <c r="I140" s="249" t="s">
        <v>126</v>
      </c>
      <c r="J140" s="249"/>
      <c r="K140" s="150">
        <f>H140*2200</f>
        <v>22440</v>
      </c>
      <c r="L140" s="93"/>
      <c r="S140" s="129"/>
    </row>
    <row r="141" spans="1:19" s="107" customFormat="1">
      <c r="A141" s="222"/>
      <c r="B141" s="212"/>
      <c r="C141" s="223"/>
      <c r="D141" s="195"/>
      <c r="E141" s="213"/>
      <c r="F141" s="88"/>
      <c r="G141" s="148" t="s">
        <v>156</v>
      </c>
      <c r="H141" s="240">
        <v>17</v>
      </c>
      <c r="I141" s="240" t="s">
        <v>101</v>
      </c>
      <c r="J141" s="240"/>
      <c r="K141" s="158"/>
      <c r="L141" s="93" t="s">
        <v>154</v>
      </c>
      <c r="S141" s="129"/>
    </row>
    <row r="142" spans="1:19" s="216" customFormat="1" ht="24">
      <c r="A142" s="222"/>
      <c r="B142" s="200"/>
      <c r="C142" s="223"/>
      <c r="D142" s="60"/>
      <c r="E142" s="215"/>
      <c r="F142" s="214"/>
      <c r="G142" s="148" t="s">
        <v>157</v>
      </c>
      <c r="H142" s="240">
        <v>36</v>
      </c>
      <c r="I142" s="240" t="s">
        <v>101</v>
      </c>
      <c r="J142" s="240"/>
      <c r="K142" s="158"/>
      <c r="L142" s="93" t="s">
        <v>154</v>
      </c>
      <c r="S142" s="217"/>
    </row>
    <row r="143" spans="1:19" s="216" customFormat="1">
      <c r="A143" s="222"/>
      <c r="B143" s="200"/>
      <c r="C143" s="223"/>
      <c r="D143" s="60"/>
      <c r="E143" s="215"/>
      <c r="F143" s="214"/>
      <c r="G143" s="148" t="s">
        <v>153</v>
      </c>
      <c r="H143" s="240">
        <v>11</v>
      </c>
      <c r="I143" s="240" t="s">
        <v>126</v>
      </c>
      <c r="J143" s="240"/>
      <c r="K143" s="158"/>
      <c r="L143" s="93" t="s">
        <v>154</v>
      </c>
      <c r="S143" s="217"/>
    </row>
    <row r="144" spans="1:19" s="216" customFormat="1" ht="24">
      <c r="A144" s="222"/>
      <c r="B144" s="200"/>
      <c r="C144" s="223"/>
      <c r="D144" s="60"/>
      <c r="E144" s="215"/>
      <c r="F144" s="214"/>
      <c r="G144" s="148" t="s">
        <v>160</v>
      </c>
      <c r="H144" s="240">
        <v>4</v>
      </c>
      <c r="I144" s="240" t="s">
        <v>138</v>
      </c>
      <c r="J144" s="240"/>
      <c r="K144" s="158"/>
      <c r="L144" s="93"/>
      <c r="S144" s="217"/>
    </row>
    <row r="145" spans="1:19" s="216" customFormat="1" ht="28.5" customHeight="1">
      <c r="A145" s="222"/>
      <c r="B145" s="200"/>
      <c r="C145" s="223"/>
      <c r="D145" s="60"/>
      <c r="E145" s="215"/>
      <c r="F145" s="214"/>
      <c r="G145" s="148" t="s">
        <v>158</v>
      </c>
      <c r="H145" s="240">
        <v>8</v>
      </c>
      <c r="I145" s="240" t="s">
        <v>97</v>
      </c>
      <c r="J145" s="240"/>
      <c r="K145" s="158"/>
      <c r="L145" s="93" t="s">
        <v>159</v>
      </c>
      <c r="S145" s="217"/>
    </row>
    <row r="146" spans="1:19" s="216" customFormat="1" ht="15" customHeight="1">
      <c r="A146" s="222"/>
      <c r="B146" s="200"/>
      <c r="C146" s="223"/>
      <c r="D146" s="60"/>
      <c r="E146" s="215"/>
      <c r="F146" s="214"/>
      <c r="G146" s="264" t="s">
        <v>175</v>
      </c>
      <c r="H146" s="240">
        <v>125</v>
      </c>
      <c r="I146" s="240" t="s">
        <v>97</v>
      </c>
      <c r="J146" s="240"/>
      <c r="K146" s="158">
        <f>28700.35+92866*1.18</f>
        <v>138282.22999999998</v>
      </c>
      <c r="L146" s="93"/>
      <c r="S146" s="217"/>
    </row>
    <row r="147" spans="1:19" ht="12.75" customHeight="1">
      <c r="A147" s="314"/>
      <c r="B147" s="7"/>
      <c r="C147" s="315"/>
      <c r="D147" s="6"/>
      <c r="E147" s="4"/>
      <c r="F147" s="80"/>
      <c r="G147" s="26" t="s">
        <v>8</v>
      </c>
      <c r="H147" s="241"/>
      <c r="I147" s="241"/>
      <c r="J147" s="241"/>
      <c r="K147" s="152">
        <f>SUM(K139:K146)</f>
        <v>217432.22999999998</v>
      </c>
      <c r="L147" s="314"/>
    </row>
    <row r="148" spans="1:19" s="124" customFormat="1" ht="12.75" customHeight="1">
      <c r="A148" s="314"/>
      <c r="B148" s="7"/>
      <c r="C148" s="315"/>
      <c r="D148" s="6"/>
      <c r="E148" s="4"/>
      <c r="F148" s="78"/>
      <c r="G148" s="26" t="s">
        <v>9</v>
      </c>
      <c r="H148" s="241"/>
      <c r="I148" s="241"/>
      <c r="J148" s="241"/>
      <c r="K148" s="205">
        <f>F139-K147</f>
        <v>-163185.97919999997</v>
      </c>
      <c r="L148" s="314"/>
      <c r="S148" s="128"/>
    </row>
    <row r="149" spans="1:19" ht="12.75" customHeight="1">
      <c r="A149" s="22">
        <v>26</v>
      </c>
      <c r="B149" s="31" t="s">
        <v>30</v>
      </c>
      <c r="C149" s="24" t="s">
        <v>34</v>
      </c>
      <c r="D149" s="45"/>
      <c r="E149" s="46"/>
      <c r="F149" s="81"/>
      <c r="G149" s="56"/>
      <c r="H149" s="236"/>
      <c r="I149" s="236"/>
      <c r="J149" s="236"/>
      <c r="K149" s="160"/>
      <c r="L149" s="22"/>
    </row>
    <row r="150" spans="1:19">
      <c r="A150" s="314"/>
      <c r="B150" s="186" t="s">
        <v>64</v>
      </c>
      <c r="C150" s="315"/>
      <c r="D150" s="18">
        <v>5577.3</v>
      </c>
      <c r="E150" s="183">
        <f>0.63*12</f>
        <v>7.5600000000000005</v>
      </c>
      <c r="F150" s="78">
        <f>D150*E150</f>
        <v>42164.388000000006</v>
      </c>
      <c r="G150" s="148" t="s">
        <v>221</v>
      </c>
      <c r="H150" s="240">
        <f>8+115</f>
        <v>123</v>
      </c>
      <c r="I150" s="240" t="s">
        <v>107</v>
      </c>
      <c r="J150" s="240">
        <f>H150*530</f>
        <v>65190</v>
      </c>
      <c r="K150" s="166"/>
      <c r="L150" s="91"/>
    </row>
    <row r="151" spans="1:19">
      <c r="A151" s="314"/>
      <c r="B151" s="186"/>
      <c r="C151" s="315"/>
      <c r="D151" s="18"/>
      <c r="E151" s="183"/>
      <c r="F151" s="78"/>
      <c r="G151" s="25" t="s">
        <v>335</v>
      </c>
      <c r="H151" s="249">
        <f>2*3.4</f>
        <v>6.8</v>
      </c>
      <c r="I151" s="249" t="s">
        <v>126</v>
      </c>
      <c r="J151" s="240">
        <v>10000</v>
      </c>
      <c r="K151" s="166">
        <f>H151*2200</f>
        <v>14960</v>
      </c>
      <c r="L151" s="91"/>
    </row>
    <row r="152" spans="1:19" ht="12.75" customHeight="1">
      <c r="A152" s="314"/>
      <c r="B152" s="7"/>
      <c r="C152" s="315"/>
      <c r="D152" s="6"/>
      <c r="E152" s="4"/>
      <c r="F152" s="87"/>
      <c r="G152" s="26" t="s">
        <v>8</v>
      </c>
      <c r="H152" s="241"/>
      <c r="I152" s="241"/>
      <c r="J152" s="241"/>
      <c r="K152" s="152">
        <f>SUM(K150:K151)</f>
        <v>14960</v>
      </c>
      <c r="L152" s="314"/>
    </row>
    <row r="153" spans="1:19" ht="12.75" customHeight="1">
      <c r="A153" s="314"/>
      <c r="B153" s="7"/>
      <c r="C153" s="315"/>
      <c r="D153" s="6"/>
      <c r="E153" s="4"/>
      <c r="F153" s="78"/>
      <c r="G153" s="26" t="s">
        <v>9</v>
      </c>
      <c r="H153" s="241"/>
      <c r="I153" s="241"/>
      <c r="J153" s="241"/>
      <c r="K153" s="178">
        <f>F150-K152</f>
        <v>27204.388000000006</v>
      </c>
      <c r="L153" s="314"/>
    </row>
    <row r="154" spans="1:19" ht="12.75" customHeight="1">
      <c r="A154" s="22">
        <v>27</v>
      </c>
      <c r="B154" s="31" t="s">
        <v>30</v>
      </c>
      <c r="C154" s="24" t="s">
        <v>35</v>
      </c>
      <c r="D154" s="42"/>
      <c r="E154" s="40"/>
      <c r="F154" s="81"/>
      <c r="G154" s="56"/>
      <c r="H154" s="236"/>
      <c r="I154" s="236"/>
      <c r="J154" s="236"/>
      <c r="K154" s="160"/>
      <c r="L154" s="22"/>
    </row>
    <row r="155" spans="1:19" ht="15.75" customHeight="1">
      <c r="A155" s="314"/>
      <c r="B155" s="186" t="s">
        <v>64</v>
      </c>
      <c r="C155" s="315"/>
      <c r="D155" s="18">
        <v>10240.200000000001</v>
      </c>
      <c r="E155" s="183">
        <f>0.57*12</f>
        <v>6.84</v>
      </c>
      <c r="F155" s="78">
        <f>D155*E155</f>
        <v>70042.968000000008</v>
      </c>
      <c r="G155" s="67" t="s">
        <v>351</v>
      </c>
      <c r="H155" s="249">
        <f>4.2+38+9+13</f>
        <v>64.2</v>
      </c>
      <c r="I155" s="249" t="s">
        <v>101</v>
      </c>
      <c r="J155" s="249"/>
      <c r="K155" s="150">
        <f>H155*530</f>
        <v>34026</v>
      </c>
      <c r="L155" s="91" t="s">
        <v>282</v>
      </c>
    </row>
    <row r="156" spans="1:19">
      <c r="A156" s="314"/>
      <c r="B156" s="186"/>
      <c r="C156" s="315"/>
      <c r="D156" s="18"/>
      <c r="E156" s="183"/>
      <c r="F156" s="78"/>
      <c r="G156" s="67" t="s">
        <v>336</v>
      </c>
      <c r="H156" s="249">
        <f>2*3.4</f>
        <v>6.8</v>
      </c>
      <c r="I156" s="249" t="s">
        <v>126</v>
      </c>
      <c r="J156" s="249"/>
      <c r="K156" s="150">
        <f>H156*2200</f>
        <v>14960</v>
      </c>
      <c r="L156" s="91"/>
    </row>
    <row r="157" spans="1:19" ht="12.75" customHeight="1">
      <c r="A157" s="314"/>
      <c r="B157" s="7"/>
      <c r="C157" s="315"/>
      <c r="D157" s="6"/>
      <c r="E157" s="4"/>
      <c r="F157" s="87"/>
      <c r="G157" s="26" t="s">
        <v>8</v>
      </c>
      <c r="H157" s="241"/>
      <c r="I157" s="241"/>
      <c r="J157" s="241"/>
      <c r="K157" s="152">
        <f>SUM(K155:K156)</f>
        <v>48986</v>
      </c>
      <c r="L157" s="314"/>
    </row>
    <row r="158" spans="1:19" ht="12.75" customHeight="1">
      <c r="A158" s="314"/>
      <c r="B158" s="7"/>
      <c r="C158" s="315"/>
      <c r="D158" s="6"/>
      <c r="E158" s="4"/>
      <c r="F158" s="78"/>
      <c r="G158" s="26" t="s">
        <v>9</v>
      </c>
      <c r="H158" s="241"/>
      <c r="I158" s="241"/>
      <c r="J158" s="241"/>
      <c r="K158" s="152">
        <f>F155-K157</f>
        <v>21056.968000000008</v>
      </c>
      <c r="L158" s="314"/>
    </row>
    <row r="159" spans="1:19" ht="12.75" customHeight="1">
      <c r="A159" s="22">
        <v>28</v>
      </c>
      <c r="B159" s="31" t="s">
        <v>30</v>
      </c>
      <c r="C159" s="24" t="s">
        <v>36</v>
      </c>
      <c r="D159" s="45"/>
      <c r="E159" s="46"/>
      <c r="F159" s="83"/>
      <c r="G159" s="56"/>
      <c r="H159" s="236"/>
      <c r="I159" s="236"/>
      <c r="J159" s="236"/>
      <c r="K159" s="160"/>
      <c r="L159" s="22"/>
    </row>
    <row r="160" spans="1:19" ht="24">
      <c r="A160" s="314"/>
      <c r="B160" s="186" t="s">
        <v>64</v>
      </c>
      <c r="C160" s="315"/>
      <c r="D160" s="16">
        <v>8601.6</v>
      </c>
      <c r="E160" s="183">
        <f>0.57*12</f>
        <v>6.84</v>
      </c>
      <c r="F160" s="78">
        <f>D160*E160</f>
        <v>58834.944000000003</v>
      </c>
      <c r="G160" s="67" t="s">
        <v>348</v>
      </c>
      <c r="H160" s="249">
        <f>10.6+18.5+14+14+20</f>
        <v>77.099999999999994</v>
      </c>
      <c r="I160" s="249" t="s">
        <v>101</v>
      </c>
      <c r="J160" s="249"/>
      <c r="K160" s="150">
        <f>H160*530</f>
        <v>40863</v>
      </c>
      <c r="L160" s="91"/>
      <c r="M160" s="94"/>
      <c r="N160" s="94"/>
    </row>
    <row r="161" spans="1:14">
      <c r="A161" s="314"/>
      <c r="B161" s="186"/>
      <c r="C161" s="315"/>
      <c r="D161" s="16"/>
      <c r="E161" s="183"/>
      <c r="F161" s="78"/>
      <c r="G161" s="67" t="s">
        <v>337</v>
      </c>
      <c r="H161" s="249">
        <f>3.4</f>
        <v>3.4</v>
      </c>
      <c r="I161" s="249" t="s">
        <v>126</v>
      </c>
      <c r="J161" s="249"/>
      <c r="K161" s="150">
        <f>H161*2200</f>
        <v>7480</v>
      </c>
      <c r="L161" s="91"/>
      <c r="M161" s="94"/>
      <c r="N161" s="94"/>
    </row>
    <row r="162" spans="1:14">
      <c r="A162" s="314"/>
      <c r="B162" s="186"/>
      <c r="C162" s="315"/>
      <c r="D162" s="16"/>
      <c r="E162" s="183"/>
      <c r="F162" s="78"/>
      <c r="G162" s="148" t="s">
        <v>131</v>
      </c>
      <c r="H162" s="240">
        <v>20</v>
      </c>
      <c r="I162" s="240" t="s">
        <v>126</v>
      </c>
      <c r="J162" s="240"/>
      <c r="K162" s="166"/>
      <c r="L162" s="91"/>
      <c r="M162" s="94"/>
      <c r="N162" s="94"/>
    </row>
    <row r="163" spans="1:14" ht="12.75" customHeight="1">
      <c r="A163" s="314"/>
      <c r="B163" s="7"/>
      <c r="C163" s="315"/>
      <c r="D163" s="6"/>
      <c r="E163" s="4"/>
      <c r="F163" s="80"/>
      <c r="G163" s="26" t="s">
        <v>8</v>
      </c>
      <c r="H163" s="241"/>
      <c r="I163" s="241"/>
      <c r="J163" s="241"/>
      <c r="K163" s="152">
        <f>SUM(K160:K161)</f>
        <v>48343</v>
      </c>
      <c r="L163" s="65"/>
    </row>
    <row r="164" spans="1:14" ht="12.75" customHeight="1">
      <c r="A164" s="314"/>
      <c r="B164" s="7"/>
      <c r="C164" s="315"/>
      <c r="D164" s="6"/>
      <c r="E164" s="4"/>
      <c r="F164" s="78"/>
      <c r="G164" s="26" t="s">
        <v>9</v>
      </c>
      <c r="H164" s="241"/>
      <c r="I164" s="241"/>
      <c r="J164" s="241"/>
      <c r="K164" s="152">
        <f>F160-K163</f>
        <v>10491.944000000003</v>
      </c>
      <c r="L164" s="65"/>
    </row>
    <row r="165" spans="1:14" ht="12.75" customHeight="1">
      <c r="A165" s="98">
        <v>29</v>
      </c>
      <c r="B165" s="100" t="s">
        <v>37</v>
      </c>
      <c r="C165" s="108">
        <v>2</v>
      </c>
      <c r="D165" s="101"/>
      <c r="E165" s="102"/>
      <c r="F165" s="103"/>
      <c r="G165" s="104"/>
      <c r="H165" s="250"/>
      <c r="I165" s="250"/>
      <c r="J165" s="250"/>
      <c r="K165" s="162"/>
      <c r="L165" s="105"/>
    </row>
    <row r="166" spans="1:14" ht="26.25" customHeight="1">
      <c r="A166" s="314"/>
      <c r="B166" s="90" t="s">
        <v>64</v>
      </c>
      <c r="C166" s="17"/>
      <c r="D166" s="18">
        <v>3878.4</v>
      </c>
      <c r="E166" s="183">
        <f>0.67*12</f>
        <v>8.0400000000000009</v>
      </c>
      <c r="F166" s="78">
        <f>D166*E166</f>
        <v>31182.336000000003</v>
      </c>
      <c r="G166" s="96" t="s">
        <v>298</v>
      </c>
      <c r="H166" s="249">
        <v>2</v>
      </c>
      <c r="I166" s="249" t="s">
        <v>97</v>
      </c>
      <c r="J166" s="249"/>
      <c r="K166" s="150">
        <f>2*16721</f>
        <v>33442</v>
      </c>
      <c r="L166" s="93" t="s">
        <v>373</v>
      </c>
      <c r="M166" s="318"/>
      <c r="N166" s="318"/>
    </row>
    <row r="167" spans="1:14" ht="12.75" customHeight="1">
      <c r="A167" s="314"/>
      <c r="B167" s="7"/>
      <c r="C167" s="315"/>
      <c r="D167" s="6"/>
      <c r="E167" s="4"/>
      <c r="F167" s="80"/>
      <c r="G167" s="26" t="s">
        <v>8</v>
      </c>
      <c r="H167" s="241"/>
      <c r="I167" s="241"/>
      <c r="J167" s="241"/>
      <c r="K167" s="152">
        <f>SUM(K166:K166)</f>
        <v>33442</v>
      </c>
      <c r="L167" s="65"/>
      <c r="M167" s="99"/>
      <c r="N167" s="99"/>
    </row>
    <row r="168" spans="1:14" ht="12.75" customHeight="1">
      <c r="A168" s="314"/>
      <c r="B168" s="7"/>
      <c r="C168" s="315"/>
      <c r="D168" s="6"/>
      <c r="E168" s="4"/>
      <c r="F168" s="78"/>
      <c r="G168" s="26" t="s">
        <v>9</v>
      </c>
      <c r="H168" s="241"/>
      <c r="I168" s="241"/>
      <c r="J168" s="241"/>
      <c r="K168" s="205">
        <f>F166-K167</f>
        <v>-2259.663999999997</v>
      </c>
      <c r="L168" s="65"/>
      <c r="M168" s="99"/>
      <c r="N168" s="99"/>
    </row>
    <row r="169" spans="1:14" ht="12.75" customHeight="1">
      <c r="A169" s="98">
        <v>30</v>
      </c>
      <c r="B169" s="100" t="s">
        <v>38</v>
      </c>
      <c r="C169" s="108">
        <v>36</v>
      </c>
      <c r="D169" s="101"/>
      <c r="E169" s="102"/>
      <c r="F169" s="103"/>
      <c r="G169" s="104"/>
      <c r="H169" s="250"/>
      <c r="I169" s="250"/>
      <c r="J169" s="250"/>
      <c r="K169" s="162"/>
      <c r="L169" s="105"/>
    </row>
    <row r="170" spans="1:14" ht="12.75" customHeight="1">
      <c r="A170" s="314"/>
      <c r="B170" s="90" t="s">
        <v>64</v>
      </c>
      <c r="C170" s="17"/>
      <c r="D170" s="16">
        <v>3445.8</v>
      </c>
      <c r="E170" s="183">
        <f>0.57*12</f>
        <v>6.84</v>
      </c>
      <c r="F170" s="78">
        <f>D170*E170</f>
        <v>23569.272000000001</v>
      </c>
      <c r="G170" s="67"/>
      <c r="H170" s="249"/>
      <c r="I170" s="249"/>
      <c r="J170" s="249"/>
      <c r="K170" s="150"/>
      <c r="L170" s="93"/>
    </row>
    <row r="171" spans="1:14" ht="12.75" customHeight="1">
      <c r="A171" s="314"/>
      <c r="B171" s="7"/>
      <c r="C171" s="315"/>
      <c r="D171" s="6"/>
      <c r="E171" s="4"/>
      <c r="F171" s="80"/>
      <c r="G171" s="26" t="s">
        <v>8</v>
      </c>
      <c r="H171" s="241"/>
      <c r="I171" s="241"/>
      <c r="J171" s="241"/>
      <c r="K171" s="152">
        <f>K170</f>
        <v>0</v>
      </c>
      <c r="L171" s="65"/>
    </row>
    <row r="172" spans="1:14" ht="12.75" customHeight="1">
      <c r="A172" s="314"/>
      <c r="B172" s="7"/>
      <c r="C172" s="315"/>
      <c r="D172" s="6"/>
      <c r="E172" s="4"/>
      <c r="F172" s="78"/>
      <c r="G172" s="26" t="s">
        <v>9</v>
      </c>
      <c r="H172" s="241"/>
      <c r="I172" s="241"/>
      <c r="J172" s="241"/>
      <c r="K172" s="152">
        <f>F170-K171</f>
        <v>23569.272000000001</v>
      </c>
      <c r="L172" s="65"/>
    </row>
    <row r="173" spans="1:14" ht="12.75" customHeight="1">
      <c r="A173" s="98">
        <v>31</v>
      </c>
      <c r="B173" s="100" t="s">
        <v>38</v>
      </c>
      <c r="C173" s="108">
        <v>40</v>
      </c>
      <c r="D173" s="101"/>
      <c r="E173" s="102"/>
      <c r="F173" s="103"/>
      <c r="G173" s="104"/>
      <c r="H173" s="250"/>
      <c r="I173" s="250"/>
      <c r="J173" s="250"/>
      <c r="K173" s="162"/>
      <c r="L173" s="105"/>
    </row>
    <row r="174" spans="1:14" ht="26.25" customHeight="1">
      <c r="A174" s="314"/>
      <c r="B174" s="186" t="s">
        <v>64</v>
      </c>
      <c r="C174" s="17"/>
      <c r="D174" s="16">
        <v>4035.6</v>
      </c>
      <c r="E174" s="183">
        <f>0.67*12</f>
        <v>8.0400000000000009</v>
      </c>
      <c r="F174" s="78">
        <f>D174*E174</f>
        <v>32446.224000000002</v>
      </c>
      <c r="G174" s="96" t="s">
        <v>299</v>
      </c>
      <c r="H174" s="249">
        <v>2</v>
      </c>
      <c r="I174" s="249" t="s">
        <v>97</v>
      </c>
      <c r="J174" s="249"/>
      <c r="K174" s="150">
        <f>2*16721</f>
        <v>33442</v>
      </c>
      <c r="L174" s="61" t="s">
        <v>374</v>
      </c>
    </row>
    <row r="175" spans="1:14" ht="12.75" customHeight="1">
      <c r="A175" s="314"/>
      <c r="B175" s="7"/>
      <c r="C175" s="315"/>
      <c r="D175" s="6"/>
      <c r="E175" s="4"/>
      <c r="F175" s="80"/>
      <c r="G175" s="26" t="s">
        <v>8</v>
      </c>
      <c r="H175" s="241"/>
      <c r="I175" s="241"/>
      <c r="J175" s="241"/>
      <c r="K175" s="152">
        <f>K174</f>
        <v>33442</v>
      </c>
      <c r="L175" s="65"/>
    </row>
    <row r="176" spans="1:14" ht="12.75" customHeight="1">
      <c r="A176" s="314"/>
      <c r="B176" s="7"/>
      <c r="C176" s="315"/>
      <c r="D176" s="6"/>
      <c r="E176" s="4"/>
      <c r="F176" s="78"/>
      <c r="G176" s="26" t="s">
        <v>9</v>
      </c>
      <c r="H176" s="241"/>
      <c r="I176" s="241"/>
      <c r="J176" s="241"/>
      <c r="K176" s="205">
        <f>F174-K175</f>
        <v>-995.77599999999802</v>
      </c>
      <c r="L176" s="65"/>
    </row>
    <row r="177" spans="1:19" ht="12.75" customHeight="1">
      <c r="A177" s="98">
        <v>32</v>
      </c>
      <c r="B177" s="100" t="s">
        <v>38</v>
      </c>
      <c r="C177" s="108">
        <v>46</v>
      </c>
      <c r="D177" s="101"/>
      <c r="E177" s="102"/>
      <c r="F177" s="103"/>
      <c r="G177" s="104"/>
      <c r="H177" s="250"/>
      <c r="I177" s="250"/>
      <c r="J177" s="250"/>
      <c r="K177" s="162"/>
      <c r="L177" s="105"/>
    </row>
    <row r="178" spans="1:19" ht="12.75" customHeight="1">
      <c r="A178" s="314"/>
      <c r="B178" s="186" t="s">
        <v>64</v>
      </c>
      <c r="C178" s="17"/>
      <c r="D178" s="16">
        <v>13684</v>
      </c>
      <c r="E178" s="183">
        <f>0.57*12</f>
        <v>6.84</v>
      </c>
      <c r="F178" s="78">
        <f>D178*E178</f>
        <v>93598.56</v>
      </c>
      <c r="G178" s="67" t="s">
        <v>88</v>
      </c>
      <c r="H178" s="249">
        <v>4</v>
      </c>
      <c r="I178" s="249" t="s">
        <v>107</v>
      </c>
      <c r="J178" s="249"/>
      <c r="K178" s="150">
        <f>H178*530</f>
        <v>2120</v>
      </c>
      <c r="L178" s="93"/>
    </row>
    <row r="179" spans="1:19" s="136" customFormat="1" ht="12.75" customHeight="1">
      <c r="A179" s="10"/>
      <c r="B179" s="186"/>
      <c r="C179" s="17"/>
      <c r="D179" s="16"/>
      <c r="E179" s="183"/>
      <c r="F179" s="78"/>
      <c r="G179" s="264" t="s">
        <v>359</v>
      </c>
      <c r="H179" s="279"/>
      <c r="I179" s="279"/>
      <c r="J179" s="279"/>
      <c r="K179" s="205"/>
      <c r="L179" s="305" t="s">
        <v>360</v>
      </c>
      <c r="S179" s="319"/>
    </row>
    <row r="180" spans="1:19" ht="12.75" customHeight="1">
      <c r="A180" s="314"/>
      <c r="B180" s="11"/>
      <c r="C180" s="17"/>
      <c r="D180" s="18"/>
      <c r="E180" s="16"/>
      <c r="F180" s="78"/>
      <c r="G180" s="26" t="s">
        <v>8</v>
      </c>
      <c r="H180" s="241"/>
      <c r="I180" s="241"/>
      <c r="J180" s="241"/>
      <c r="K180" s="152">
        <f>K178</f>
        <v>2120</v>
      </c>
      <c r="L180" s="65"/>
    </row>
    <row r="181" spans="1:19" ht="12.75" customHeight="1">
      <c r="A181" s="314"/>
      <c r="B181" s="11"/>
      <c r="C181" s="17"/>
      <c r="D181" s="18"/>
      <c r="E181" s="16"/>
      <c r="F181" s="78"/>
      <c r="G181" s="26" t="s">
        <v>9</v>
      </c>
      <c r="H181" s="241"/>
      <c r="I181" s="241"/>
      <c r="J181" s="241"/>
      <c r="K181" s="152">
        <f>F178-K180</f>
        <v>91478.56</v>
      </c>
      <c r="L181" s="65"/>
    </row>
    <row r="182" spans="1:19" ht="12.75" customHeight="1">
      <c r="A182" s="98">
        <v>33</v>
      </c>
      <c r="B182" s="100" t="s">
        <v>39</v>
      </c>
      <c r="C182" s="108">
        <v>24</v>
      </c>
      <c r="D182" s="101"/>
      <c r="E182" s="102"/>
      <c r="F182" s="103"/>
      <c r="G182" s="104"/>
      <c r="H182" s="250"/>
      <c r="I182" s="250"/>
      <c r="J182" s="250"/>
      <c r="K182" s="162"/>
      <c r="L182" s="105"/>
    </row>
    <row r="183" spans="1:19">
      <c r="A183" s="314"/>
      <c r="B183" s="186" t="s">
        <v>64</v>
      </c>
      <c r="C183" s="17"/>
      <c r="D183" s="18">
        <v>3496.1</v>
      </c>
      <c r="E183" s="183">
        <f>0.57*12</f>
        <v>6.84</v>
      </c>
      <c r="F183" s="78">
        <f>D183*E183</f>
        <v>23913.324000000001</v>
      </c>
      <c r="G183" s="67" t="s">
        <v>237</v>
      </c>
      <c r="H183" s="249">
        <v>49</v>
      </c>
      <c r="I183" s="249" t="s">
        <v>101</v>
      </c>
      <c r="J183" s="249"/>
      <c r="K183" s="150">
        <f>H183*530</f>
        <v>25970</v>
      </c>
      <c r="L183" s="93"/>
    </row>
    <row r="184" spans="1:19">
      <c r="A184" s="314"/>
      <c r="B184" s="186"/>
      <c r="C184" s="17"/>
      <c r="D184" s="18"/>
      <c r="E184" s="183"/>
      <c r="F184" s="78"/>
      <c r="G184" s="148" t="s">
        <v>79</v>
      </c>
      <c r="H184" s="240"/>
      <c r="I184" s="240"/>
      <c r="J184" s="240"/>
      <c r="K184" s="150"/>
      <c r="L184" s="93"/>
    </row>
    <row r="185" spans="1:19" ht="12.75" customHeight="1">
      <c r="A185" s="314"/>
      <c r="B185" s="7"/>
      <c r="C185" s="315"/>
      <c r="D185" s="6"/>
      <c r="E185" s="4"/>
      <c r="F185" s="80"/>
      <c r="G185" s="26" t="s">
        <v>8</v>
      </c>
      <c r="H185" s="241"/>
      <c r="I185" s="241"/>
      <c r="J185" s="241"/>
      <c r="K185" s="152">
        <f>SUM(K183:K184)</f>
        <v>25970</v>
      </c>
      <c r="L185" s="65"/>
    </row>
    <row r="186" spans="1:19" ht="12.75" customHeight="1">
      <c r="A186" s="314"/>
      <c r="B186" s="7"/>
      <c r="C186" s="315"/>
      <c r="D186" s="6"/>
      <c r="E186" s="4"/>
      <c r="F186" s="78"/>
      <c r="G186" s="26" t="s">
        <v>9</v>
      </c>
      <c r="H186" s="241"/>
      <c r="I186" s="241"/>
      <c r="J186" s="241"/>
      <c r="K186" s="205">
        <f>F183-K185</f>
        <v>-2056.6759999999995</v>
      </c>
      <c r="L186" s="65"/>
    </row>
    <row r="187" spans="1:19" ht="12.75" customHeight="1">
      <c r="A187" s="98">
        <v>34</v>
      </c>
      <c r="B187" s="100" t="s">
        <v>40</v>
      </c>
      <c r="C187" s="108">
        <v>28</v>
      </c>
      <c r="D187" s="101"/>
      <c r="E187" s="102"/>
      <c r="F187" s="103"/>
      <c r="G187" s="181"/>
      <c r="H187" s="252"/>
      <c r="I187" s="252"/>
      <c r="J187" s="252"/>
      <c r="K187" s="182"/>
      <c r="L187" s="105"/>
    </row>
    <row r="188" spans="1:19" ht="12.75" customHeight="1">
      <c r="A188" s="314"/>
      <c r="B188" s="186" t="s">
        <v>64</v>
      </c>
      <c r="C188" s="315"/>
      <c r="D188" s="6">
        <v>6700.2</v>
      </c>
      <c r="E188" s="62">
        <f>0.63*12</f>
        <v>7.5600000000000005</v>
      </c>
      <c r="F188" s="80">
        <f>D188*E188</f>
        <v>50653.512000000002</v>
      </c>
      <c r="G188" s="67" t="s">
        <v>165</v>
      </c>
      <c r="H188" s="249">
        <v>157</v>
      </c>
      <c r="I188" s="249" t="s">
        <v>101</v>
      </c>
      <c r="J188" s="249"/>
      <c r="K188" s="150">
        <f>H188*530</f>
        <v>83210</v>
      </c>
      <c r="L188" s="93"/>
    </row>
    <row r="189" spans="1:19" ht="12.75" customHeight="1">
      <c r="A189" s="314"/>
      <c r="B189" s="90"/>
      <c r="C189" s="315"/>
      <c r="D189" s="6"/>
      <c r="E189" s="15"/>
      <c r="F189" s="78"/>
      <c r="G189" s="230" t="s">
        <v>205</v>
      </c>
      <c r="H189" s="229">
        <f>2+10</f>
        <v>12</v>
      </c>
      <c r="I189" s="229" t="s">
        <v>104</v>
      </c>
      <c r="J189" s="229">
        <f>H189*2000</f>
        <v>24000</v>
      </c>
      <c r="K189" s="166"/>
      <c r="L189" s="65"/>
    </row>
    <row r="190" spans="1:19" ht="12.75" customHeight="1">
      <c r="A190" s="314"/>
      <c r="B190" s="90"/>
      <c r="C190" s="315"/>
      <c r="D190" s="6"/>
      <c r="E190" s="15"/>
      <c r="F190" s="78"/>
      <c r="G190" s="259" t="s">
        <v>260</v>
      </c>
      <c r="H190" s="247">
        <f>3.4</f>
        <v>3.4</v>
      </c>
      <c r="I190" s="247" t="s">
        <v>126</v>
      </c>
      <c r="J190" s="247"/>
      <c r="K190" s="150">
        <f>H190*2200</f>
        <v>7480</v>
      </c>
      <c r="L190" s="65"/>
    </row>
    <row r="191" spans="1:19" ht="12.75" customHeight="1">
      <c r="A191" s="314"/>
      <c r="B191" s="7"/>
      <c r="C191" s="315"/>
      <c r="D191" s="6"/>
      <c r="E191" s="4"/>
      <c r="F191" s="80"/>
      <c r="G191" s="26" t="s">
        <v>8</v>
      </c>
      <c r="H191" s="241"/>
      <c r="I191" s="241"/>
      <c r="J191" s="241"/>
      <c r="K191" s="152">
        <f>SUM(K188:K190)</f>
        <v>90690</v>
      </c>
      <c r="L191" s="65"/>
    </row>
    <row r="192" spans="1:19" ht="12.75" customHeight="1">
      <c r="A192" s="314"/>
      <c r="B192" s="7"/>
      <c r="C192" s="315"/>
      <c r="D192" s="6"/>
      <c r="E192" s="4"/>
      <c r="F192" s="78"/>
      <c r="G192" s="26" t="s">
        <v>9</v>
      </c>
      <c r="H192" s="241"/>
      <c r="I192" s="241"/>
      <c r="J192" s="241"/>
      <c r="K192" s="205">
        <f>F188-K191</f>
        <v>-40036.487999999998</v>
      </c>
      <c r="L192" s="65"/>
    </row>
    <row r="193" spans="1:12" ht="12.75" customHeight="1">
      <c r="A193" s="98">
        <v>35</v>
      </c>
      <c r="B193" s="100" t="s">
        <v>39</v>
      </c>
      <c r="C193" s="108">
        <v>30</v>
      </c>
      <c r="D193" s="101"/>
      <c r="E193" s="102"/>
      <c r="F193" s="103"/>
      <c r="G193" s="104"/>
      <c r="H193" s="250"/>
      <c r="I193" s="250"/>
      <c r="J193" s="250"/>
      <c r="K193" s="162"/>
      <c r="L193" s="105"/>
    </row>
    <row r="194" spans="1:12" ht="12.75" customHeight="1">
      <c r="A194" s="314"/>
      <c r="B194" s="186" t="s">
        <v>64</v>
      </c>
      <c r="C194" s="17"/>
      <c r="D194" s="16">
        <v>8205.2000000000007</v>
      </c>
      <c r="E194" s="183">
        <f>0.88*12</f>
        <v>10.56</v>
      </c>
      <c r="F194" s="78">
        <f>D194*E194</f>
        <v>86646.912000000011</v>
      </c>
      <c r="G194" s="259" t="s">
        <v>338</v>
      </c>
      <c r="H194" s="247">
        <f>23.2</f>
        <v>23.2</v>
      </c>
      <c r="I194" s="247" t="s">
        <v>126</v>
      </c>
      <c r="J194" s="247"/>
      <c r="K194" s="150">
        <f>H194*2200</f>
        <v>51040</v>
      </c>
      <c r="L194" s="93"/>
    </row>
    <row r="195" spans="1:12" ht="12.75" customHeight="1">
      <c r="A195" s="314"/>
      <c r="B195" s="186"/>
      <c r="C195" s="17"/>
      <c r="D195" s="16"/>
      <c r="E195" s="183"/>
      <c r="F195" s="78"/>
      <c r="G195" s="67" t="s">
        <v>249</v>
      </c>
      <c r="H195" s="249">
        <v>2</v>
      </c>
      <c r="I195" s="249" t="s">
        <v>97</v>
      </c>
      <c r="J195" s="249"/>
      <c r="K195" s="150">
        <f>5962</f>
        <v>5962</v>
      </c>
      <c r="L195" s="93"/>
    </row>
    <row r="196" spans="1:12" ht="12.75" customHeight="1">
      <c r="A196" s="314"/>
      <c r="B196" s="7"/>
      <c r="C196" s="315"/>
      <c r="D196" s="6"/>
      <c r="E196" s="4"/>
      <c r="F196" s="80"/>
      <c r="G196" s="26" t="s">
        <v>8</v>
      </c>
      <c r="H196" s="241"/>
      <c r="I196" s="241"/>
      <c r="J196" s="241"/>
      <c r="K196" s="152">
        <f>SUM(K194:K195)</f>
        <v>57002</v>
      </c>
      <c r="L196" s="65"/>
    </row>
    <row r="197" spans="1:12" ht="12.75" customHeight="1">
      <c r="A197" s="314"/>
      <c r="B197" s="7"/>
      <c r="C197" s="315"/>
      <c r="D197" s="6"/>
      <c r="E197" s="4"/>
      <c r="F197" s="78"/>
      <c r="G197" s="26" t="s">
        <v>9</v>
      </c>
      <c r="H197" s="241"/>
      <c r="I197" s="241"/>
      <c r="J197" s="241"/>
      <c r="K197" s="152">
        <f>F194-K196</f>
        <v>29644.912000000011</v>
      </c>
      <c r="L197" s="65"/>
    </row>
    <row r="198" spans="1:12" ht="12.75" customHeight="1">
      <c r="A198" s="98">
        <v>36</v>
      </c>
      <c r="B198" s="100" t="s">
        <v>41</v>
      </c>
      <c r="C198" s="108" t="s">
        <v>42</v>
      </c>
      <c r="D198" s="101"/>
      <c r="E198" s="102"/>
      <c r="F198" s="103"/>
      <c r="G198" s="104"/>
      <c r="H198" s="250"/>
      <c r="I198" s="250"/>
      <c r="J198" s="250"/>
      <c r="K198" s="162"/>
      <c r="L198" s="105"/>
    </row>
    <row r="199" spans="1:12" ht="12.75" customHeight="1">
      <c r="A199" s="314"/>
      <c r="B199" s="186" t="s">
        <v>64</v>
      </c>
      <c r="C199" s="17"/>
      <c r="D199" s="16">
        <v>4653.2</v>
      </c>
      <c r="E199" s="183">
        <f>0.73*12</f>
        <v>8.76</v>
      </c>
      <c r="F199" s="78">
        <f>D199*E199</f>
        <v>40762.031999999999</v>
      </c>
      <c r="G199" s="67" t="s">
        <v>356</v>
      </c>
      <c r="H199" s="249">
        <f>14+10</f>
        <v>24</v>
      </c>
      <c r="I199" s="249" t="s">
        <v>101</v>
      </c>
      <c r="J199" s="249"/>
      <c r="K199" s="150">
        <f>H199*530</f>
        <v>12720</v>
      </c>
      <c r="L199" s="93"/>
    </row>
    <row r="200" spans="1:12" ht="12.75" customHeight="1">
      <c r="A200" s="314"/>
      <c r="B200" s="186"/>
      <c r="C200" s="17"/>
      <c r="D200" s="16"/>
      <c r="E200" s="183"/>
      <c r="F200" s="78"/>
      <c r="G200" s="67" t="s">
        <v>297</v>
      </c>
      <c r="H200" s="249">
        <v>2</v>
      </c>
      <c r="I200" s="249" t="s">
        <v>138</v>
      </c>
      <c r="J200" s="249"/>
      <c r="K200" s="150">
        <v>30000</v>
      </c>
      <c r="L200" s="93"/>
    </row>
    <row r="201" spans="1:12" ht="12.75" customHeight="1">
      <c r="A201" s="314"/>
      <c r="B201" s="186"/>
      <c r="C201" s="17"/>
      <c r="D201" s="16"/>
      <c r="E201" s="183"/>
      <c r="F201" s="78"/>
      <c r="G201" s="67" t="s">
        <v>344</v>
      </c>
      <c r="H201" s="249">
        <f>2*3</f>
        <v>6</v>
      </c>
      <c r="I201" s="249" t="s">
        <v>126</v>
      </c>
      <c r="J201" s="249"/>
      <c r="K201" s="150">
        <f>H201*2200</f>
        <v>13200</v>
      </c>
      <c r="L201" s="93"/>
    </row>
    <row r="202" spans="1:12" ht="12.75" customHeight="1">
      <c r="A202" s="314"/>
      <c r="B202" s="7"/>
      <c r="C202" s="315"/>
      <c r="D202" s="6"/>
      <c r="E202" s="4"/>
      <c r="F202" s="80"/>
      <c r="G202" s="26" t="s">
        <v>8</v>
      </c>
      <c r="H202" s="241"/>
      <c r="I202" s="241"/>
      <c r="J202" s="241"/>
      <c r="K202" s="152">
        <f>SUM(K199:K201)</f>
        <v>55920</v>
      </c>
      <c r="L202" s="65"/>
    </row>
    <row r="203" spans="1:12" ht="12.75" customHeight="1">
      <c r="A203" s="314"/>
      <c r="B203" s="7"/>
      <c r="C203" s="315"/>
      <c r="D203" s="6"/>
      <c r="E203" s="4"/>
      <c r="F203" s="78"/>
      <c r="G203" s="26" t="s">
        <v>9</v>
      </c>
      <c r="H203" s="241"/>
      <c r="I203" s="241"/>
      <c r="J203" s="241"/>
      <c r="K203" s="205">
        <f>F199-K202</f>
        <v>-15157.968000000001</v>
      </c>
      <c r="L203" s="65"/>
    </row>
    <row r="204" spans="1:12" ht="12.75" customHeight="1">
      <c r="A204" s="98">
        <v>37</v>
      </c>
      <c r="B204" s="100" t="s">
        <v>43</v>
      </c>
      <c r="C204" s="108">
        <v>3</v>
      </c>
      <c r="D204" s="101"/>
      <c r="E204" s="102"/>
      <c r="F204" s="103"/>
      <c r="G204" s="104"/>
      <c r="H204" s="250"/>
      <c r="I204" s="250"/>
      <c r="J204" s="250"/>
      <c r="K204" s="162"/>
      <c r="L204" s="105"/>
    </row>
    <row r="205" spans="1:12" ht="12.75" customHeight="1">
      <c r="A205" s="314"/>
      <c r="B205" s="186" t="s">
        <v>64</v>
      </c>
      <c r="C205" s="315"/>
      <c r="D205" s="6">
        <v>6613.1</v>
      </c>
      <c r="E205" s="62">
        <f>0.63*12</f>
        <v>7.5600000000000005</v>
      </c>
      <c r="F205" s="78">
        <f>D205*E205</f>
        <v>49995.036000000007</v>
      </c>
      <c r="G205" s="148" t="s">
        <v>63</v>
      </c>
      <c r="H205" s="240"/>
      <c r="I205" s="240"/>
      <c r="J205" s="240"/>
      <c r="K205" s="150"/>
      <c r="L205" s="93"/>
    </row>
    <row r="206" spans="1:12" ht="12.75" customHeight="1">
      <c r="A206" s="314"/>
      <c r="B206" s="33"/>
      <c r="C206" s="315"/>
      <c r="D206" s="6"/>
      <c r="E206" s="74"/>
      <c r="F206" s="80"/>
      <c r="G206" s="67" t="s">
        <v>259</v>
      </c>
      <c r="H206" s="249">
        <v>110</v>
      </c>
      <c r="I206" s="249" t="s">
        <v>101</v>
      </c>
      <c r="J206" s="249"/>
      <c r="K206" s="150">
        <f>H206*530</f>
        <v>58300</v>
      </c>
      <c r="L206" s="93" t="s">
        <v>210</v>
      </c>
    </row>
    <row r="207" spans="1:12" ht="12.75" customHeight="1">
      <c r="A207" s="314"/>
      <c r="B207" s="33"/>
      <c r="C207" s="315"/>
      <c r="D207" s="6"/>
      <c r="E207" s="74"/>
      <c r="F207" s="80"/>
      <c r="G207" s="148" t="s">
        <v>343</v>
      </c>
      <c r="H207" s="240">
        <f>2*3.4</f>
        <v>6.8</v>
      </c>
      <c r="I207" s="240" t="s">
        <v>97</v>
      </c>
      <c r="J207" s="240"/>
      <c r="K207" s="166">
        <f>H207*2200</f>
        <v>14960</v>
      </c>
      <c r="L207" s="93" t="s">
        <v>287</v>
      </c>
    </row>
    <row r="208" spans="1:12" ht="12.75" customHeight="1">
      <c r="A208" s="314"/>
      <c r="B208" s="7"/>
      <c r="C208" s="315"/>
      <c r="D208" s="6"/>
      <c r="E208" s="4"/>
      <c r="F208" s="80"/>
      <c r="G208" s="26" t="s">
        <v>8</v>
      </c>
      <c r="H208" s="241"/>
      <c r="I208" s="241"/>
      <c r="J208" s="241"/>
      <c r="K208" s="152">
        <f>SUM(K205:K207)</f>
        <v>73260</v>
      </c>
      <c r="L208" s="65"/>
    </row>
    <row r="209" spans="1:19" ht="12.75" customHeight="1">
      <c r="A209" s="314"/>
      <c r="B209" s="7"/>
      <c r="C209" s="315"/>
      <c r="D209" s="6"/>
      <c r="E209" s="4"/>
      <c r="F209" s="208"/>
      <c r="G209" s="26" t="s">
        <v>9</v>
      </c>
      <c r="H209" s="241"/>
      <c r="I209" s="241"/>
      <c r="J209" s="241"/>
      <c r="K209" s="205">
        <f>F205-K208</f>
        <v>-23264.963999999993</v>
      </c>
      <c r="L209" s="65"/>
    </row>
    <row r="210" spans="1:19" s="107" customFormat="1" ht="12.75" customHeight="1">
      <c r="A210" s="98">
        <v>38</v>
      </c>
      <c r="B210" s="100" t="s">
        <v>43</v>
      </c>
      <c r="C210" s="108">
        <v>5</v>
      </c>
      <c r="D210" s="106"/>
      <c r="E210" s="102"/>
      <c r="F210" s="103"/>
      <c r="G210" s="104"/>
      <c r="H210" s="250"/>
      <c r="I210" s="250"/>
      <c r="J210" s="250"/>
      <c r="K210" s="162"/>
      <c r="L210" s="105"/>
      <c r="S210" s="129"/>
    </row>
    <row r="211" spans="1:19" ht="12.75" customHeight="1">
      <c r="A211" s="314"/>
      <c r="B211" s="186" t="s">
        <v>64</v>
      </c>
      <c r="C211" s="315"/>
      <c r="D211" s="16">
        <v>4021</v>
      </c>
      <c r="E211" s="183">
        <f>12*0.67</f>
        <v>8.0400000000000009</v>
      </c>
      <c r="F211" s="78">
        <f>D211*E211</f>
        <v>32328.840000000004</v>
      </c>
      <c r="G211" s="148" t="s">
        <v>85</v>
      </c>
      <c r="H211" s="240"/>
      <c r="I211" s="240"/>
      <c r="J211" s="240"/>
      <c r="K211" s="166"/>
      <c r="L211" s="323" t="s">
        <v>89</v>
      </c>
      <c r="M211" s="324"/>
    </row>
    <row r="212" spans="1:19" ht="12.75" customHeight="1">
      <c r="A212" s="314"/>
      <c r="B212" s="7"/>
      <c r="C212" s="315"/>
      <c r="D212" s="6"/>
      <c r="E212" s="4"/>
      <c r="F212" s="80"/>
      <c r="G212" s="26" t="s">
        <v>8</v>
      </c>
      <c r="H212" s="241"/>
      <c r="I212" s="241"/>
      <c r="J212" s="241"/>
      <c r="K212" s="152">
        <f>SUM(K211:K211)</f>
        <v>0</v>
      </c>
      <c r="L212" s="65"/>
    </row>
    <row r="213" spans="1:19" ht="12.75" customHeight="1">
      <c r="A213" s="314"/>
      <c r="B213" s="7"/>
      <c r="C213" s="315"/>
      <c r="D213" s="6"/>
      <c r="E213" s="4"/>
      <c r="F213" s="78"/>
      <c r="G213" s="26" t="s">
        <v>9</v>
      </c>
      <c r="H213" s="241"/>
      <c r="I213" s="241"/>
      <c r="J213" s="241"/>
      <c r="K213" s="152">
        <f>F211-K212</f>
        <v>32328.840000000004</v>
      </c>
      <c r="L213" s="65"/>
    </row>
    <row r="214" spans="1:19" ht="12.75" customHeight="1">
      <c r="A214" s="98">
        <v>39</v>
      </c>
      <c r="B214" s="100" t="s">
        <v>44</v>
      </c>
      <c r="C214" s="108" t="s">
        <v>56</v>
      </c>
      <c r="D214" s="101"/>
      <c r="E214" s="102"/>
      <c r="F214" s="103"/>
      <c r="G214" s="104"/>
      <c r="H214" s="250"/>
      <c r="I214" s="250"/>
      <c r="J214" s="250"/>
      <c r="K214" s="162"/>
      <c r="L214" s="105"/>
    </row>
    <row r="215" spans="1:19" ht="24">
      <c r="A215" s="314"/>
      <c r="B215" s="186" t="s">
        <v>64</v>
      </c>
      <c r="C215" s="17"/>
      <c r="D215" s="16">
        <v>9353.9</v>
      </c>
      <c r="E215" s="183">
        <f>0.63*12</f>
        <v>7.5600000000000005</v>
      </c>
      <c r="F215" s="78">
        <f>D215*E215</f>
        <v>70715.483999999997</v>
      </c>
      <c r="G215" s="67" t="s">
        <v>354</v>
      </c>
      <c r="H215" s="249">
        <f>16+26+27+11+(58)+7+32+11+3-6</f>
        <v>185</v>
      </c>
      <c r="I215" s="249" t="s">
        <v>101</v>
      </c>
      <c r="J215" s="240">
        <f>H215*530</f>
        <v>98050</v>
      </c>
      <c r="K215" s="150">
        <f>H215*530</f>
        <v>98050</v>
      </c>
      <c r="L215" s="222"/>
    </row>
    <row r="216" spans="1:19">
      <c r="A216" s="314"/>
      <c r="B216" s="33"/>
      <c r="C216" s="315"/>
      <c r="D216" s="6"/>
      <c r="E216" s="74"/>
      <c r="F216" s="80"/>
      <c r="G216" s="67" t="s">
        <v>342</v>
      </c>
      <c r="H216" s="249">
        <v>3.4</v>
      </c>
      <c r="I216" s="249" t="s">
        <v>126</v>
      </c>
      <c r="J216" s="249"/>
      <c r="K216" s="150">
        <f>H216*2200</f>
        <v>7480</v>
      </c>
      <c r="L216" s="93"/>
    </row>
    <row r="217" spans="1:19" ht="12.75" customHeight="1">
      <c r="A217" s="314"/>
      <c r="B217" s="7"/>
      <c r="C217" s="315"/>
      <c r="D217" s="6"/>
      <c r="E217" s="4"/>
      <c r="F217" s="80"/>
      <c r="G217" s="26" t="s">
        <v>8</v>
      </c>
      <c r="H217" s="241"/>
      <c r="I217" s="241"/>
      <c r="J217" s="241"/>
      <c r="K217" s="152">
        <f>SUM(K215:K216)</f>
        <v>105530</v>
      </c>
      <c r="L217" s="65"/>
    </row>
    <row r="218" spans="1:19" ht="12.75" customHeight="1">
      <c r="A218" s="314"/>
      <c r="B218" s="7"/>
      <c r="C218" s="315"/>
      <c r="D218" s="6"/>
      <c r="E218" s="4"/>
      <c r="F218" s="78"/>
      <c r="G218" s="26" t="s">
        <v>9</v>
      </c>
      <c r="H218" s="241"/>
      <c r="I218" s="241"/>
      <c r="J218" s="241"/>
      <c r="K218" s="205">
        <f>F215-K217</f>
        <v>-34814.516000000003</v>
      </c>
      <c r="L218" s="65"/>
    </row>
    <row r="219" spans="1:19" ht="12.75" customHeight="1">
      <c r="A219" s="98">
        <v>40</v>
      </c>
      <c r="B219" s="100" t="s">
        <v>45</v>
      </c>
      <c r="C219" s="108">
        <v>11</v>
      </c>
      <c r="D219" s="101"/>
      <c r="E219" s="102"/>
      <c r="F219" s="103"/>
      <c r="G219" s="104"/>
      <c r="H219" s="250"/>
      <c r="I219" s="250"/>
      <c r="J219" s="250"/>
      <c r="K219" s="162"/>
      <c r="L219" s="105"/>
    </row>
    <row r="220" spans="1:19">
      <c r="A220" s="314"/>
      <c r="B220" s="186" t="s">
        <v>64</v>
      </c>
      <c r="C220" s="17"/>
      <c r="D220" s="18">
        <v>5390</v>
      </c>
      <c r="E220" s="183">
        <f>0.57*12</f>
        <v>6.84</v>
      </c>
      <c r="F220" s="78">
        <f>D220*E220</f>
        <v>36867.599999999999</v>
      </c>
      <c r="G220" s="67" t="s">
        <v>212</v>
      </c>
      <c r="H220" s="249">
        <v>30</v>
      </c>
      <c r="I220" s="249" t="s">
        <v>101</v>
      </c>
      <c r="J220" s="249"/>
      <c r="K220" s="150">
        <f>H220*530</f>
        <v>15900</v>
      </c>
      <c r="L220" s="93"/>
    </row>
    <row r="221" spans="1:19">
      <c r="A221" s="314"/>
      <c r="B221" s="186"/>
      <c r="C221" s="17"/>
      <c r="D221" s="18"/>
      <c r="E221" s="183"/>
      <c r="F221" s="78"/>
      <c r="G221" s="148"/>
      <c r="H221" s="240"/>
      <c r="I221" s="240"/>
      <c r="J221" s="240"/>
      <c r="K221" s="166"/>
      <c r="L221" s="93"/>
    </row>
    <row r="222" spans="1:19" ht="12.75" customHeight="1">
      <c r="A222" s="314"/>
      <c r="B222" s="11"/>
      <c r="C222" s="17"/>
      <c r="D222" s="18"/>
      <c r="E222" s="16"/>
      <c r="F222" s="78"/>
      <c r="G222" s="26" t="s">
        <v>8</v>
      </c>
      <c r="H222" s="241"/>
      <c r="I222" s="241"/>
      <c r="J222" s="241"/>
      <c r="K222" s="152">
        <f>SUM(K220:K220)</f>
        <v>15900</v>
      </c>
      <c r="L222" s="65"/>
    </row>
    <row r="223" spans="1:19" ht="12.75" customHeight="1">
      <c r="A223" s="314"/>
      <c r="B223" s="7"/>
      <c r="C223" s="315"/>
      <c r="D223" s="6"/>
      <c r="E223" s="4"/>
      <c r="F223" s="78"/>
      <c r="G223" s="26" t="s">
        <v>9</v>
      </c>
      <c r="H223" s="241"/>
      <c r="I223" s="241"/>
      <c r="J223" s="241"/>
      <c r="K223" s="152">
        <f>F220-K222</f>
        <v>20967.599999999999</v>
      </c>
      <c r="L223" s="65"/>
    </row>
    <row r="224" spans="1:19" ht="12.75" customHeight="1">
      <c r="A224" s="98">
        <v>41</v>
      </c>
      <c r="B224" s="100" t="s">
        <v>45</v>
      </c>
      <c r="C224" s="108">
        <v>13</v>
      </c>
      <c r="D224" s="101"/>
      <c r="E224" s="102"/>
      <c r="F224" s="103"/>
      <c r="G224" s="104"/>
      <c r="H224" s="250"/>
      <c r="I224" s="250"/>
      <c r="J224" s="250"/>
      <c r="K224" s="162"/>
      <c r="L224" s="105"/>
    </row>
    <row r="225" spans="1:12" ht="24">
      <c r="A225" s="314"/>
      <c r="B225" s="186" t="s">
        <v>64</v>
      </c>
      <c r="C225" s="315"/>
      <c r="D225" s="18">
        <v>10972.1</v>
      </c>
      <c r="E225" s="183">
        <f>0.57*12</f>
        <v>6.84</v>
      </c>
      <c r="F225" s="78">
        <f>D225*E225</f>
        <v>75049.164000000004</v>
      </c>
      <c r="G225" s="67" t="s">
        <v>358</v>
      </c>
      <c r="H225" s="249">
        <f>45+27+12+(9+9)+58+12+11+24-5</f>
        <v>202</v>
      </c>
      <c r="I225" s="240" t="s">
        <v>101</v>
      </c>
      <c r="J225" s="240">
        <f>H225*530</f>
        <v>107060</v>
      </c>
      <c r="K225" s="150">
        <f>H225*530</f>
        <v>107060</v>
      </c>
      <c r="L225" s="93"/>
    </row>
    <row r="226" spans="1:12" ht="12.75" customHeight="1">
      <c r="A226" s="314"/>
      <c r="B226" s="7"/>
      <c r="C226" s="315"/>
      <c r="D226" s="6"/>
      <c r="E226" s="4"/>
      <c r="F226" s="80"/>
      <c r="G226" s="26" t="s">
        <v>8</v>
      </c>
      <c r="H226" s="241"/>
      <c r="I226" s="241"/>
      <c r="J226" s="241"/>
      <c r="K226" s="152">
        <f>SUM(K225:K225)</f>
        <v>107060</v>
      </c>
      <c r="L226" s="65"/>
    </row>
    <row r="227" spans="1:12" ht="12.75" customHeight="1">
      <c r="A227" s="314"/>
      <c r="B227" s="7"/>
      <c r="C227" s="315"/>
      <c r="D227" s="6"/>
      <c r="E227" s="4"/>
      <c r="F227" s="78"/>
      <c r="G227" s="26" t="s">
        <v>9</v>
      </c>
      <c r="H227" s="241"/>
      <c r="I227" s="241"/>
      <c r="J227" s="241"/>
      <c r="K227" s="205">
        <f>F225-K226</f>
        <v>-32010.835999999996</v>
      </c>
      <c r="L227" s="65"/>
    </row>
    <row r="228" spans="1:12" ht="12.75" customHeight="1">
      <c r="A228" s="98">
        <v>42</v>
      </c>
      <c r="B228" s="100" t="s">
        <v>57</v>
      </c>
      <c r="C228" s="108">
        <v>17</v>
      </c>
      <c r="D228" s="101"/>
      <c r="E228" s="102"/>
      <c r="F228" s="103"/>
      <c r="G228" s="104"/>
      <c r="H228" s="250"/>
      <c r="I228" s="250"/>
      <c r="J228" s="250"/>
      <c r="K228" s="162"/>
      <c r="L228" s="105"/>
    </row>
    <row r="229" spans="1:12" ht="12.75" customHeight="1">
      <c r="A229" s="314"/>
      <c r="B229" s="186" t="s">
        <v>64</v>
      </c>
      <c r="C229" s="315"/>
      <c r="D229" s="16">
        <v>3993.2</v>
      </c>
      <c r="E229" s="183">
        <f>0.67*12</f>
        <v>8.0400000000000009</v>
      </c>
      <c r="F229" s="78">
        <f>D229*E229</f>
        <v>32105.328000000001</v>
      </c>
      <c r="G229" s="148" t="s">
        <v>161</v>
      </c>
      <c r="H229" s="240">
        <v>1</v>
      </c>
      <c r="I229" s="240" t="s">
        <v>150</v>
      </c>
      <c r="J229" s="240">
        <v>61930.26</v>
      </c>
      <c r="K229" s="166"/>
      <c r="L229" s="222"/>
    </row>
    <row r="230" spans="1:12">
      <c r="A230" s="314"/>
      <c r="B230" s="33"/>
      <c r="C230" s="315"/>
      <c r="D230" s="6"/>
      <c r="E230" s="74"/>
      <c r="F230" s="80"/>
      <c r="G230" s="96"/>
      <c r="H230" s="229"/>
      <c r="I230" s="229"/>
      <c r="J230" s="229"/>
      <c r="K230" s="150"/>
      <c r="L230" s="314"/>
    </row>
    <row r="231" spans="1:12" ht="12.75" customHeight="1">
      <c r="A231" s="314"/>
      <c r="B231" s="7"/>
      <c r="C231" s="315"/>
      <c r="D231" s="6"/>
      <c r="E231" s="4"/>
      <c r="F231" s="80"/>
      <c r="G231" s="26" t="s">
        <v>8</v>
      </c>
      <c r="H231" s="241"/>
      <c r="I231" s="241"/>
      <c r="J231" s="241"/>
      <c r="K231" s="152">
        <f>SUM(K229:K230)</f>
        <v>0</v>
      </c>
      <c r="L231" s="65"/>
    </row>
    <row r="232" spans="1:12" ht="12.75" customHeight="1">
      <c r="A232" s="314"/>
      <c r="B232" s="7"/>
      <c r="C232" s="315"/>
      <c r="D232" s="6"/>
      <c r="E232" s="4"/>
      <c r="F232" s="78"/>
      <c r="G232" s="26" t="s">
        <v>9</v>
      </c>
      <c r="H232" s="241"/>
      <c r="I232" s="241"/>
      <c r="J232" s="241"/>
      <c r="K232" s="152">
        <f>F229-K231</f>
        <v>32105.328000000001</v>
      </c>
      <c r="L232" s="65"/>
    </row>
    <row r="233" spans="1:12" ht="12.75" customHeight="1">
      <c r="A233" s="98">
        <v>43</v>
      </c>
      <c r="B233" s="100" t="s">
        <v>45</v>
      </c>
      <c r="C233" s="108">
        <v>19</v>
      </c>
      <c r="D233" s="101"/>
      <c r="E233" s="102"/>
      <c r="F233" s="103"/>
      <c r="G233" s="104"/>
      <c r="H233" s="250"/>
      <c r="I233" s="250"/>
      <c r="J233" s="250"/>
      <c r="K233" s="162"/>
      <c r="L233" s="105"/>
    </row>
    <row r="234" spans="1:12" ht="12.75" customHeight="1">
      <c r="A234" s="314"/>
      <c r="B234" s="186" t="s">
        <v>64</v>
      </c>
      <c r="C234" s="17"/>
      <c r="D234" s="16">
        <v>3973.2</v>
      </c>
      <c r="E234" s="183">
        <f>0.67*12</f>
        <v>8.0400000000000009</v>
      </c>
      <c r="F234" s="78">
        <f>D234*E234</f>
        <v>31944.528000000002</v>
      </c>
      <c r="G234" s="148" t="s">
        <v>188</v>
      </c>
      <c r="H234" s="240">
        <v>3</v>
      </c>
      <c r="I234" s="240" t="s">
        <v>107</v>
      </c>
      <c r="J234" s="166">
        <f>5*550</f>
        <v>2750</v>
      </c>
      <c r="K234" s="166"/>
      <c r="L234" s="222"/>
    </row>
    <row r="235" spans="1:12" ht="12.75" customHeight="1">
      <c r="A235" s="314"/>
      <c r="B235" s="186"/>
      <c r="C235" s="17"/>
      <c r="D235" s="16"/>
      <c r="E235" s="183"/>
      <c r="F235" s="78"/>
      <c r="G235" s="67" t="s">
        <v>322</v>
      </c>
      <c r="H235" s="249">
        <v>1</v>
      </c>
      <c r="I235" s="249" t="s">
        <v>150</v>
      </c>
      <c r="J235" s="249"/>
      <c r="K235" s="150">
        <f>7006*1.18</f>
        <v>8267.08</v>
      </c>
      <c r="L235" s="222"/>
    </row>
    <row r="236" spans="1:12" ht="12.75" customHeight="1">
      <c r="A236" s="314"/>
      <c r="B236" s="7"/>
      <c r="C236" s="315"/>
      <c r="D236" s="6"/>
      <c r="E236" s="4"/>
      <c r="F236" s="80"/>
      <c r="G236" s="26" t="s">
        <v>8</v>
      </c>
      <c r="H236" s="241"/>
      <c r="I236" s="241"/>
      <c r="J236" s="241"/>
      <c r="K236" s="152">
        <f>SUM(K234:K235)</f>
        <v>8267.08</v>
      </c>
      <c r="L236" s="65"/>
    </row>
    <row r="237" spans="1:12" ht="12.75" customHeight="1">
      <c r="A237" s="314"/>
      <c r="B237" s="7"/>
      <c r="C237" s="315"/>
      <c r="D237" s="6"/>
      <c r="E237" s="4"/>
      <c r="F237" s="78"/>
      <c r="G237" s="26" t="s">
        <v>9</v>
      </c>
      <c r="H237" s="241"/>
      <c r="I237" s="241"/>
      <c r="J237" s="241"/>
      <c r="K237" s="152">
        <f>F234-K236</f>
        <v>23677.448000000004</v>
      </c>
      <c r="L237" s="65"/>
    </row>
    <row r="238" spans="1:12" ht="12.75" customHeight="1">
      <c r="A238" s="98">
        <v>44</v>
      </c>
      <c r="B238" s="100" t="s">
        <v>45</v>
      </c>
      <c r="C238" s="108">
        <v>21</v>
      </c>
      <c r="D238" s="101"/>
      <c r="E238" s="102"/>
      <c r="F238" s="103"/>
      <c r="G238" s="104"/>
      <c r="H238" s="250"/>
      <c r="I238" s="250"/>
      <c r="J238" s="250"/>
      <c r="K238" s="162"/>
      <c r="L238" s="105"/>
    </row>
    <row r="239" spans="1:12">
      <c r="A239" s="314"/>
      <c r="B239" s="186" t="s">
        <v>64</v>
      </c>
      <c r="C239" s="17"/>
      <c r="D239" s="16">
        <v>14446.8</v>
      </c>
      <c r="E239" s="183">
        <f>0.63*12</f>
        <v>7.5600000000000005</v>
      </c>
      <c r="F239" s="78">
        <f>D239*E239</f>
        <v>109217.808</v>
      </c>
      <c r="G239" s="148" t="s">
        <v>77</v>
      </c>
      <c r="H239" s="240"/>
      <c r="I239" s="240"/>
      <c r="J239" s="240"/>
      <c r="K239" s="150"/>
      <c r="L239" s="222"/>
    </row>
    <row r="240" spans="1:12" ht="12.75" customHeight="1">
      <c r="A240" s="314"/>
      <c r="B240" s="7"/>
      <c r="C240" s="315"/>
      <c r="D240" s="6"/>
      <c r="E240" s="4"/>
      <c r="F240" s="80"/>
      <c r="G240" s="26" t="s">
        <v>8</v>
      </c>
      <c r="H240" s="241"/>
      <c r="I240" s="241"/>
      <c r="J240" s="241"/>
      <c r="K240" s="152">
        <f>SUM(K239:K239)</f>
        <v>0</v>
      </c>
      <c r="L240" s="65"/>
    </row>
    <row r="241" spans="1:19" ht="12.75" customHeight="1">
      <c r="A241" s="314"/>
      <c r="B241" s="7"/>
      <c r="C241" s="315"/>
      <c r="D241" s="6"/>
      <c r="E241" s="4"/>
      <c r="F241" s="78"/>
      <c r="G241" s="26" t="s">
        <v>9</v>
      </c>
      <c r="H241" s="241"/>
      <c r="I241" s="241"/>
      <c r="J241" s="241"/>
      <c r="K241" s="152">
        <f>F239-K240</f>
        <v>109217.808</v>
      </c>
      <c r="L241" s="65"/>
    </row>
    <row r="242" spans="1:19" ht="12.75" customHeight="1">
      <c r="A242" s="98">
        <v>45</v>
      </c>
      <c r="B242" s="100" t="s">
        <v>58</v>
      </c>
      <c r="C242" s="108" t="s">
        <v>59</v>
      </c>
      <c r="D242" s="101"/>
      <c r="E242" s="102"/>
      <c r="F242" s="103"/>
      <c r="G242" s="104"/>
      <c r="H242" s="250"/>
      <c r="I242" s="250"/>
      <c r="J242" s="250"/>
      <c r="K242" s="162"/>
      <c r="L242" s="105"/>
    </row>
    <row r="243" spans="1:19">
      <c r="A243" s="314"/>
      <c r="B243" s="90" t="s">
        <v>64</v>
      </c>
      <c r="C243" s="17"/>
      <c r="D243" s="18">
        <v>1432</v>
      </c>
      <c r="E243" s="183">
        <f>0.63*12</f>
        <v>7.5600000000000005</v>
      </c>
      <c r="F243" s="78">
        <f>D243*E243</f>
        <v>10825.92</v>
      </c>
      <c r="G243" s="148" t="s">
        <v>77</v>
      </c>
      <c r="H243" s="240"/>
      <c r="I243" s="240"/>
      <c r="J243" s="240"/>
      <c r="K243" s="150"/>
      <c r="L243" s="222"/>
    </row>
    <row r="244" spans="1:19" ht="12.75" customHeight="1">
      <c r="A244" s="314"/>
      <c r="B244" s="11"/>
      <c r="C244" s="17"/>
      <c r="D244" s="18"/>
      <c r="E244" s="16"/>
      <c r="F244" s="78"/>
      <c r="G244" s="26" t="s">
        <v>8</v>
      </c>
      <c r="H244" s="241"/>
      <c r="I244" s="241"/>
      <c r="J244" s="241"/>
      <c r="K244" s="152">
        <f>SUM(K243:K243)</f>
        <v>0</v>
      </c>
      <c r="L244" s="65"/>
    </row>
    <row r="245" spans="1:19" ht="12.75" customHeight="1">
      <c r="A245" s="314"/>
      <c r="B245" s="11"/>
      <c r="C245" s="17"/>
      <c r="D245" s="18"/>
      <c r="E245" s="16"/>
      <c r="F245" s="78"/>
      <c r="G245" s="26" t="s">
        <v>9</v>
      </c>
      <c r="H245" s="241"/>
      <c r="I245" s="241"/>
      <c r="J245" s="241"/>
      <c r="K245" s="205">
        <f>F243-K244</f>
        <v>10825.92</v>
      </c>
      <c r="L245" s="65"/>
    </row>
    <row r="246" spans="1:19" ht="12.75" customHeight="1">
      <c r="A246" s="98">
        <v>46</v>
      </c>
      <c r="B246" s="100" t="s">
        <v>47</v>
      </c>
      <c r="C246" s="108">
        <v>2</v>
      </c>
      <c r="D246" s="101"/>
      <c r="E246" s="102"/>
      <c r="F246" s="103"/>
      <c r="G246" s="104"/>
      <c r="H246" s="250"/>
      <c r="I246" s="250"/>
      <c r="J246" s="250"/>
      <c r="K246" s="162"/>
      <c r="L246" s="105"/>
    </row>
    <row r="247" spans="1:19" ht="12.75" customHeight="1">
      <c r="A247" s="314"/>
      <c r="B247" s="90" t="s">
        <v>64</v>
      </c>
      <c r="C247" s="315"/>
      <c r="D247" s="16">
        <v>3542.1</v>
      </c>
      <c r="E247" s="183">
        <f>0.63*12</f>
        <v>7.5600000000000005</v>
      </c>
      <c r="F247" s="78">
        <f>D247*E247</f>
        <v>26778.276000000002</v>
      </c>
      <c r="G247" s="67" t="s">
        <v>355</v>
      </c>
      <c r="H247" s="249">
        <f>41+9</f>
        <v>50</v>
      </c>
      <c r="I247" s="240"/>
      <c r="J247" s="240"/>
      <c r="K247" s="150">
        <f>H247*530</f>
        <v>26500</v>
      </c>
      <c r="L247" s="314"/>
    </row>
    <row r="248" spans="1:19" ht="12.75" customHeight="1">
      <c r="A248" s="314"/>
      <c r="B248" s="90"/>
      <c r="C248" s="315"/>
      <c r="D248" s="16"/>
      <c r="E248" s="183"/>
      <c r="F248" s="78"/>
      <c r="G248" s="67" t="s">
        <v>341</v>
      </c>
      <c r="H248" s="249">
        <f>13.6</f>
        <v>13.6</v>
      </c>
      <c r="I248" s="249"/>
      <c r="J248" s="249"/>
      <c r="K248" s="150">
        <f>H248*2200</f>
        <v>29920</v>
      </c>
      <c r="L248" s="314"/>
    </row>
    <row r="249" spans="1:19" ht="12.75" customHeight="1">
      <c r="A249" s="314"/>
      <c r="B249" s="7"/>
      <c r="C249" s="315"/>
      <c r="D249" s="6"/>
      <c r="E249" s="4"/>
      <c r="F249" s="80"/>
      <c r="G249" s="26" t="s">
        <v>8</v>
      </c>
      <c r="H249" s="241"/>
      <c r="I249" s="241"/>
      <c r="J249" s="241"/>
      <c r="K249" s="152">
        <f>SUM(K247:K248)</f>
        <v>56420</v>
      </c>
      <c r="L249" s="65"/>
    </row>
    <row r="250" spans="1:19" ht="12.75" customHeight="1">
      <c r="A250" s="314"/>
      <c r="B250" s="7"/>
      <c r="C250" s="315"/>
      <c r="D250" s="6"/>
      <c r="E250" s="4"/>
      <c r="F250" s="78"/>
      <c r="G250" s="26" t="s">
        <v>9</v>
      </c>
      <c r="H250" s="241"/>
      <c r="I250" s="241"/>
      <c r="J250" s="241"/>
      <c r="K250" s="205">
        <f>F247-K249</f>
        <v>-29641.723999999998</v>
      </c>
      <c r="L250" s="65"/>
    </row>
    <row r="251" spans="1:19" ht="12.75" customHeight="1">
      <c r="A251" s="98">
        <v>47</v>
      </c>
      <c r="B251" s="100" t="s">
        <v>47</v>
      </c>
      <c r="C251" s="108" t="s">
        <v>10</v>
      </c>
      <c r="D251" s="101"/>
      <c r="E251" s="102"/>
      <c r="F251" s="103"/>
      <c r="G251" s="181"/>
      <c r="H251" s="252"/>
      <c r="I251" s="252"/>
      <c r="J251" s="252"/>
      <c r="K251" s="182"/>
      <c r="L251" s="105"/>
    </row>
    <row r="252" spans="1:19" ht="12.75" customHeight="1">
      <c r="A252" s="314"/>
      <c r="B252" s="90" t="s">
        <v>64</v>
      </c>
      <c r="C252" s="315"/>
      <c r="D252" s="16">
        <v>4543.8999999999996</v>
      </c>
      <c r="E252" s="183">
        <f>0.73*12</f>
        <v>8.76</v>
      </c>
      <c r="F252" s="78">
        <f>D252*E252</f>
        <v>39804.563999999998</v>
      </c>
      <c r="G252" s="148" t="s">
        <v>105</v>
      </c>
      <c r="H252" s="240">
        <v>40</v>
      </c>
      <c r="I252" s="240" t="s">
        <v>104</v>
      </c>
      <c r="J252" s="240">
        <v>40000</v>
      </c>
      <c r="K252" s="166"/>
      <c r="L252" s="65"/>
    </row>
    <row r="253" spans="1:19" ht="12.75" customHeight="1">
      <c r="A253" s="314"/>
      <c r="B253" s="90"/>
      <c r="C253" s="315"/>
      <c r="D253" s="16"/>
      <c r="E253" s="183"/>
      <c r="F253" s="78"/>
      <c r="G253" s="67" t="s">
        <v>215</v>
      </c>
      <c r="H253" s="249">
        <v>14</v>
      </c>
      <c r="I253" s="249" t="s">
        <v>101</v>
      </c>
      <c r="J253" s="249"/>
      <c r="K253" s="150">
        <f>H253*530</f>
        <v>7420</v>
      </c>
      <c r="L253" s="65"/>
    </row>
    <row r="254" spans="1:19" ht="12.75" customHeight="1">
      <c r="A254" s="314"/>
      <c r="B254" s="7"/>
      <c r="C254" s="315"/>
      <c r="D254" s="6"/>
      <c r="E254" s="4"/>
      <c r="F254" s="80"/>
      <c r="G254" s="26" t="s">
        <v>8</v>
      </c>
      <c r="H254" s="241"/>
      <c r="I254" s="241"/>
      <c r="J254" s="241"/>
      <c r="K254" s="152">
        <f>SUM(K252:K252)</f>
        <v>0</v>
      </c>
      <c r="L254" s="65"/>
    </row>
    <row r="255" spans="1:19" ht="12.75" customHeight="1">
      <c r="A255" s="314"/>
      <c r="B255" s="7"/>
      <c r="C255" s="315"/>
      <c r="D255" s="6"/>
      <c r="E255" s="4"/>
      <c r="F255" s="78"/>
      <c r="G255" s="26" t="s">
        <v>9</v>
      </c>
      <c r="H255" s="241"/>
      <c r="I255" s="241"/>
      <c r="J255" s="241"/>
      <c r="K255" s="312">
        <f>F252-K254</f>
        <v>39804.563999999998</v>
      </c>
      <c r="L255" s="65"/>
    </row>
    <row r="256" spans="1:19" s="121" customFormat="1" ht="12.75" customHeight="1">
      <c r="A256" s="113">
        <v>48</v>
      </c>
      <c r="B256" s="114" t="s">
        <v>48</v>
      </c>
      <c r="C256" s="115">
        <v>13</v>
      </c>
      <c r="D256" s="116">
        <v>377.1</v>
      </c>
      <c r="E256" s="117">
        <f>1.23*12</f>
        <v>14.76</v>
      </c>
      <c r="F256" s="118">
        <f>D256*E256</f>
        <v>5565.9960000000001</v>
      </c>
      <c r="G256" s="119"/>
      <c r="H256" s="254"/>
      <c r="I256" s="254"/>
      <c r="J256" s="254"/>
      <c r="K256" s="164">
        <f>F256</f>
        <v>5565.9960000000001</v>
      </c>
      <c r="L256" s="120"/>
      <c r="S256" s="130"/>
    </row>
    <row r="257" spans="1:19" s="121" customFormat="1" ht="12.75" customHeight="1">
      <c r="A257" s="113">
        <v>49</v>
      </c>
      <c r="B257" s="114" t="s">
        <v>49</v>
      </c>
      <c r="C257" s="115">
        <v>18</v>
      </c>
      <c r="D257" s="116">
        <v>292.60000000000002</v>
      </c>
      <c r="E257" s="117">
        <f>1.23*12</f>
        <v>14.76</v>
      </c>
      <c r="F257" s="118">
        <f>D257*E257</f>
        <v>4318.7759999999998</v>
      </c>
      <c r="G257" s="119"/>
      <c r="H257" s="254"/>
      <c r="I257" s="254"/>
      <c r="J257" s="254"/>
      <c r="K257" s="164">
        <f>F257</f>
        <v>4318.7759999999998</v>
      </c>
      <c r="L257" s="120"/>
      <c r="S257" s="130"/>
    </row>
    <row r="258" spans="1:19" ht="12.75" customHeight="1">
      <c r="A258" s="98">
        <v>50</v>
      </c>
      <c r="B258" s="122" t="s">
        <v>50</v>
      </c>
      <c r="C258" s="108">
        <v>8</v>
      </c>
      <c r="D258" s="125"/>
      <c r="E258" s="102"/>
      <c r="F258" s="103"/>
      <c r="G258" s="104"/>
      <c r="H258" s="250"/>
      <c r="I258" s="250"/>
      <c r="J258" s="250"/>
      <c r="K258" s="162"/>
      <c r="L258" s="105"/>
    </row>
    <row r="259" spans="1:19" ht="12.75" customHeight="1">
      <c r="A259" s="98"/>
      <c r="B259" s="90" t="s">
        <v>64</v>
      </c>
      <c r="C259" s="315"/>
      <c r="D259" s="16">
        <v>3536.6</v>
      </c>
      <c r="E259" s="183">
        <f>0.63*12</f>
        <v>7.5600000000000005</v>
      </c>
      <c r="F259" s="78">
        <f>D259*E259</f>
        <v>26736.696</v>
      </c>
      <c r="G259" s="148" t="s">
        <v>77</v>
      </c>
      <c r="H259" s="240"/>
      <c r="I259" s="240"/>
      <c r="J259" s="240"/>
      <c r="K259" s="150"/>
      <c r="L259" s="91"/>
    </row>
    <row r="260" spans="1:19" ht="12.75" customHeight="1">
      <c r="A260" s="98"/>
      <c r="B260" s="7"/>
      <c r="C260" s="315"/>
      <c r="D260" s="6"/>
      <c r="E260" s="4"/>
      <c r="F260" s="80"/>
      <c r="G260" s="26" t="s">
        <v>8</v>
      </c>
      <c r="H260" s="241"/>
      <c r="I260" s="241"/>
      <c r="J260" s="241"/>
      <c r="K260" s="152">
        <f>K259</f>
        <v>0</v>
      </c>
      <c r="L260" s="65"/>
    </row>
    <row r="261" spans="1:19" ht="12.75" customHeight="1">
      <c r="A261" s="98"/>
      <c r="B261" s="7"/>
      <c r="C261" s="315"/>
      <c r="D261" s="6"/>
      <c r="E261" s="4"/>
      <c r="F261" s="78"/>
      <c r="G261" s="26" t="s">
        <v>9</v>
      </c>
      <c r="H261" s="241"/>
      <c r="I261" s="241"/>
      <c r="J261" s="241"/>
      <c r="K261" s="152">
        <f>F259-K260</f>
        <v>26736.696</v>
      </c>
      <c r="L261" s="65"/>
    </row>
    <row r="262" spans="1:19" ht="12.75" customHeight="1">
      <c r="A262" s="98">
        <v>51</v>
      </c>
      <c r="B262" s="100" t="s">
        <v>51</v>
      </c>
      <c r="C262" s="108">
        <v>16</v>
      </c>
      <c r="D262" s="101"/>
      <c r="E262" s="102"/>
      <c r="F262" s="103"/>
      <c r="G262" s="104"/>
      <c r="H262" s="250"/>
      <c r="I262" s="250"/>
      <c r="J262" s="250"/>
      <c r="K262" s="162"/>
      <c r="L262" s="105"/>
    </row>
    <row r="263" spans="1:19" ht="27" customHeight="1">
      <c r="A263" s="98"/>
      <c r="B263" s="90" t="s">
        <v>64</v>
      </c>
      <c r="C263" s="315"/>
      <c r="D263" s="16">
        <v>3600.4</v>
      </c>
      <c r="E263" s="183">
        <f>0.88*12</f>
        <v>10.56</v>
      </c>
      <c r="F263" s="78">
        <f>D263*E263</f>
        <v>38020.224000000002</v>
      </c>
      <c r="G263" s="148" t="s">
        <v>361</v>
      </c>
      <c r="H263" s="240"/>
      <c r="I263" s="240"/>
      <c r="J263" s="240"/>
      <c r="K263" s="166"/>
      <c r="L263" s="65"/>
    </row>
    <row r="264" spans="1:19" ht="12.75" customHeight="1">
      <c r="A264" s="98"/>
      <c r="B264" s="90"/>
      <c r="C264" s="315"/>
      <c r="D264" s="16"/>
      <c r="E264" s="183"/>
      <c r="F264" s="78"/>
      <c r="G264" s="27"/>
      <c r="H264" s="251"/>
      <c r="I264" s="251"/>
      <c r="J264" s="251"/>
      <c r="K264" s="161"/>
      <c r="L264" s="65"/>
    </row>
    <row r="265" spans="1:19" ht="12.75" customHeight="1">
      <c r="A265" s="98"/>
      <c r="B265" s="7"/>
      <c r="C265" s="315"/>
      <c r="D265" s="6"/>
      <c r="E265" s="4"/>
      <c r="F265" s="80"/>
      <c r="G265" s="26" t="s">
        <v>8</v>
      </c>
      <c r="H265" s="241"/>
      <c r="I265" s="241"/>
      <c r="J265" s="241"/>
      <c r="K265" s="152">
        <f>SUM(K263:K264)</f>
        <v>0</v>
      </c>
      <c r="L265" s="65"/>
    </row>
    <row r="266" spans="1:19" ht="12.75" customHeight="1">
      <c r="A266" s="98"/>
      <c r="B266" s="7"/>
      <c r="C266" s="315"/>
      <c r="D266" s="6"/>
      <c r="E266" s="4"/>
      <c r="F266" s="78"/>
      <c r="G266" s="26" t="s">
        <v>9</v>
      </c>
      <c r="H266" s="241"/>
      <c r="I266" s="241"/>
      <c r="J266" s="241"/>
      <c r="K266" s="152">
        <f>F263-K265</f>
        <v>38020.224000000002</v>
      </c>
      <c r="L266" s="65"/>
    </row>
    <row r="267" spans="1:19" ht="12.75" customHeight="1">
      <c r="A267" s="98">
        <v>52</v>
      </c>
      <c r="B267" s="100" t="s">
        <v>51</v>
      </c>
      <c r="C267" s="108">
        <v>18</v>
      </c>
      <c r="D267" s="101"/>
      <c r="E267" s="102"/>
      <c r="F267" s="103"/>
      <c r="G267" s="104"/>
      <c r="H267" s="250"/>
      <c r="I267" s="250"/>
      <c r="J267" s="250"/>
      <c r="K267" s="162"/>
      <c r="L267" s="105"/>
    </row>
    <row r="268" spans="1:19" ht="12.75" customHeight="1">
      <c r="A268" s="98"/>
      <c r="B268" s="90" t="s">
        <v>64</v>
      </c>
      <c r="C268" s="17"/>
      <c r="D268" s="16">
        <v>4016.9</v>
      </c>
      <c r="E268" s="183">
        <f>0.88*12</f>
        <v>10.56</v>
      </c>
      <c r="F268" s="78">
        <f>D268*E268</f>
        <v>42418.464</v>
      </c>
      <c r="G268" s="67" t="s">
        <v>339</v>
      </c>
      <c r="H268" s="249">
        <v>5.4</v>
      </c>
      <c r="I268" s="249" t="s">
        <v>126</v>
      </c>
      <c r="J268" s="249"/>
      <c r="K268" s="150">
        <f>H268*2200</f>
        <v>11880</v>
      </c>
      <c r="L268" s="65"/>
    </row>
    <row r="269" spans="1:19" ht="12.75" customHeight="1">
      <c r="A269" s="98"/>
      <c r="B269" s="7"/>
      <c r="C269" s="315"/>
      <c r="D269" s="6"/>
      <c r="E269" s="4"/>
      <c r="F269" s="80"/>
      <c r="G269" s="26" t="s">
        <v>8</v>
      </c>
      <c r="H269" s="241"/>
      <c r="I269" s="241"/>
      <c r="J269" s="241"/>
      <c r="K269" s="152">
        <f>K268</f>
        <v>11880</v>
      </c>
      <c r="L269" s="65"/>
    </row>
    <row r="270" spans="1:19" ht="12.75" customHeight="1">
      <c r="A270" s="98"/>
      <c r="B270" s="7"/>
      <c r="C270" s="315"/>
      <c r="D270" s="6"/>
      <c r="E270" s="4"/>
      <c r="F270" s="78"/>
      <c r="G270" s="26" t="s">
        <v>9</v>
      </c>
      <c r="H270" s="241"/>
      <c r="I270" s="241"/>
      <c r="J270" s="241"/>
      <c r="K270" s="152">
        <f>F268-K269</f>
        <v>30538.464</v>
      </c>
      <c r="L270" s="65"/>
    </row>
    <row r="271" spans="1:19" ht="12.75" customHeight="1">
      <c r="A271" s="98">
        <v>53</v>
      </c>
      <c r="B271" s="100" t="s">
        <v>39</v>
      </c>
      <c r="C271" s="108">
        <v>40</v>
      </c>
      <c r="D271" s="101"/>
      <c r="E271" s="102"/>
      <c r="F271" s="103"/>
      <c r="G271" s="104"/>
      <c r="H271" s="250"/>
      <c r="I271" s="250"/>
      <c r="J271" s="250"/>
      <c r="K271" s="162"/>
      <c r="L271" s="105"/>
    </row>
    <row r="272" spans="1:19" ht="12.75" customHeight="1">
      <c r="A272" s="98"/>
      <c r="B272" s="90" t="s">
        <v>64</v>
      </c>
      <c r="C272" s="17"/>
      <c r="D272" s="18">
        <v>4538.3</v>
      </c>
      <c r="E272" s="183">
        <f>0.88*12</f>
        <v>10.56</v>
      </c>
      <c r="F272" s="78">
        <f>D272*E272</f>
        <v>47924.448000000004</v>
      </c>
      <c r="G272" s="67" t="s">
        <v>256</v>
      </c>
      <c r="H272" s="249">
        <v>1</v>
      </c>
      <c r="I272" s="249" t="s">
        <v>125</v>
      </c>
      <c r="J272" s="249"/>
      <c r="K272" s="150">
        <f>2155*1.18</f>
        <v>2542.9</v>
      </c>
      <c r="L272" s="65"/>
    </row>
    <row r="273" spans="1:19" ht="12.75" customHeight="1">
      <c r="A273" s="98"/>
      <c r="B273" s="7"/>
      <c r="C273" s="315"/>
      <c r="D273" s="6"/>
      <c r="E273" s="4"/>
      <c r="F273" s="80"/>
      <c r="G273" s="26" t="s">
        <v>8</v>
      </c>
      <c r="H273" s="241"/>
      <c r="I273" s="241"/>
      <c r="J273" s="241"/>
      <c r="K273" s="152">
        <f>K272</f>
        <v>2542.9</v>
      </c>
      <c r="L273" s="65"/>
    </row>
    <row r="274" spans="1:19" ht="12.75" customHeight="1">
      <c r="A274" s="98"/>
      <c r="B274" s="7"/>
      <c r="C274" s="315"/>
      <c r="D274" s="6"/>
      <c r="E274" s="4"/>
      <c r="F274" s="78"/>
      <c r="G274" s="26" t="s">
        <v>9</v>
      </c>
      <c r="H274" s="241"/>
      <c r="I274" s="241"/>
      <c r="J274" s="241"/>
      <c r="K274" s="152">
        <f>F272-K273</f>
        <v>45381.548000000003</v>
      </c>
      <c r="L274" s="65"/>
    </row>
    <row r="275" spans="1:19" ht="12.75" customHeight="1">
      <c r="A275" s="98">
        <v>54</v>
      </c>
      <c r="B275" s="100" t="s">
        <v>46</v>
      </c>
      <c r="C275" s="108">
        <v>14</v>
      </c>
      <c r="D275" s="101"/>
      <c r="E275" s="102"/>
      <c r="F275" s="103"/>
      <c r="G275" s="104"/>
      <c r="H275" s="250"/>
      <c r="I275" s="250"/>
      <c r="J275" s="250"/>
      <c r="K275" s="162"/>
      <c r="L275" s="105"/>
    </row>
    <row r="276" spans="1:19">
      <c r="A276" s="98"/>
      <c r="B276" s="90" t="s">
        <v>64</v>
      </c>
      <c r="C276" s="315"/>
      <c r="D276" s="16">
        <v>3999.8</v>
      </c>
      <c r="E276" s="183">
        <f>0.68*12</f>
        <v>8.16</v>
      </c>
      <c r="F276" s="78">
        <f>D276*E276</f>
        <v>32638.368000000002</v>
      </c>
      <c r="G276" s="67" t="s">
        <v>357</v>
      </c>
      <c r="H276" s="249">
        <f>14.5+18+3</f>
        <v>35.5</v>
      </c>
      <c r="I276" s="249" t="s">
        <v>101</v>
      </c>
      <c r="J276" s="240">
        <f>H276*530</f>
        <v>18815</v>
      </c>
      <c r="K276" s="166">
        <f>H276*530</f>
        <v>18815</v>
      </c>
      <c r="L276" s="65"/>
    </row>
    <row r="277" spans="1:19">
      <c r="A277" s="98"/>
      <c r="B277" s="90"/>
      <c r="C277" s="315"/>
      <c r="D277" s="16"/>
      <c r="E277" s="183"/>
      <c r="F277" s="78"/>
      <c r="G277" s="148" t="s">
        <v>127</v>
      </c>
      <c r="H277" s="240">
        <v>2</v>
      </c>
      <c r="I277" s="240" t="s">
        <v>126</v>
      </c>
      <c r="J277" s="240">
        <v>3000</v>
      </c>
      <c r="K277" s="166"/>
      <c r="L277" s="65"/>
    </row>
    <row r="278" spans="1:19" s="124" customFormat="1">
      <c r="A278" s="98"/>
      <c r="B278" s="90"/>
      <c r="C278" s="315"/>
      <c r="D278" s="16"/>
      <c r="E278" s="183"/>
      <c r="F278" s="78"/>
      <c r="G278" s="67" t="s">
        <v>340</v>
      </c>
      <c r="H278" s="249">
        <v>48</v>
      </c>
      <c r="I278" s="249" t="s">
        <v>126</v>
      </c>
      <c r="J278" s="249"/>
      <c r="K278" s="249">
        <f>H278*2200</f>
        <v>105600</v>
      </c>
      <c r="L278" s="65"/>
      <c r="S278" s="128"/>
    </row>
    <row r="279" spans="1:19" ht="12.75" customHeight="1">
      <c r="A279" s="98"/>
      <c r="B279" s="7"/>
      <c r="C279" s="315"/>
      <c r="D279" s="6"/>
      <c r="E279" s="4"/>
      <c r="F279" s="80"/>
      <c r="G279" s="26" t="s">
        <v>8</v>
      </c>
      <c r="H279" s="241"/>
      <c r="I279" s="241"/>
      <c r="J279" s="241"/>
      <c r="K279" s="152">
        <f>SUM(K276:K278)</f>
        <v>124415</v>
      </c>
      <c r="L279" s="65"/>
    </row>
    <row r="280" spans="1:19" ht="12.75" customHeight="1">
      <c r="A280" s="98"/>
      <c r="B280" s="7"/>
      <c r="C280" s="315"/>
      <c r="D280" s="6"/>
      <c r="E280" s="4"/>
      <c r="F280" s="78"/>
      <c r="G280" s="26" t="s">
        <v>9</v>
      </c>
      <c r="H280" s="241"/>
      <c r="I280" s="241"/>
      <c r="J280" s="241"/>
      <c r="K280" s="205">
        <f>F276-K279</f>
        <v>-91776.631999999998</v>
      </c>
      <c r="L280" s="65"/>
    </row>
    <row r="281" spans="1:19" ht="12.75" customHeight="1">
      <c r="A281" s="98">
        <v>55</v>
      </c>
      <c r="B281" s="100" t="s">
        <v>46</v>
      </c>
      <c r="C281" s="108">
        <v>16</v>
      </c>
      <c r="D281" s="101"/>
      <c r="E281" s="102"/>
      <c r="F281" s="103"/>
      <c r="G281" s="104"/>
      <c r="H281" s="250"/>
      <c r="I281" s="250"/>
      <c r="J281" s="250"/>
      <c r="K281" s="162"/>
      <c r="L281" s="105"/>
    </row>
    <row r="282" spans="1:19">
      <c r="A282" s="98"/>
      <c r="B282" s="90" t="s">
        <v>64</v>
      </c>
      <c r="C282" s="315"/>
      <c r="D282" s="16">
        <v>3943.68</v>
      </c>
      <c r="E282" s="183">
        <f>0.68*12</f>
        <v>8.16</v>
      </c>
      <c r="F282" s="78">
        <f>D282*E282</f>
        <v>32180.428799999998</v>
      </c>
      <c r="G282" s="148" t="s">
        <v>283</v>
      </c>
      <c r="H282" s="240">
        <v>1</v>
      </c>
      <c r="I282" s="240" t="s">
        <v>97</v>
      </c>
      <c r="J282" s="240"/>
      <c r="K282" s="166"/>
      <c r="L282" s="65"/>
    </row>
    <row r="283" spans="1:19" ht="12.75" customHeight="1">
      <c r="A283" s="98"/>
      <c r="B283" s="7"/>
      <c r="C283" s="315"/>
      <c r="D283" s="6"/>
      <c r="E283" s="4"/>
      <c r="F283" s="80"/>
      <c r="G283" s="26" t="s">
        <v>8</v>
      </c>
      <c r="H283" s="241"/>
      <c r="I283" s="241"/>
      <c r="J283" s="241"/>
      <c r="K283" s="152">
        <f>SUM(K282:K282)</f>
        <v>0</v>
      </c>
      <c r="L283" s="65"/>
    </row>
    <row r="284" spans="1:19" ht="12.75" customHeight="1">
      <c r="A284" s="98"/>
      <c r="B284" s="7"/>
      <c r="C284" s="315"/>
      <c r="D284" s="6"/>
      <c r="E284" s="4"/>
      <c r="F284" s="78"/>
      <c r="G284" s="26" t="s">
        <v>9</v>
      </c>
      <c r="H284" s="241"/>
      <c r="I284" s="241"/>
      <c r="J284" s="241"/>
      <c r="K284" s="152">
        <f>F282-K283</f>
        <v>32180.428799999998</v>
      </c>
      <c r="L284" s="65"/>
    </row>
    <row r="285" spans="1:19" ht="12.75" customHeight="1">
      <c r="A285" s="98">
        <v>56</v>
      </c>
      <c r="B285" s="100" t="s">
        <v>52</v>
      </c>
      <c r="C285" s="108" t="s">
        <v>53</v>
      </c>
      <c r="D285" s="101"/>
      <c r="E285" s="102"/>
      <c r="F285" s="103"/>
      <c r="G285" s="104"/>
      <c r="H285" s="250"/>
      <c r="I285" s="250"/>
      <c r="J285" s="250"/>
      <c r="K285" s="162"/>
      <c r="L285" s="105"/>
    </row>
    <row r="286" spans="1:19" ht="12.75" customHeight="1">
      <c r="A286" s="98"/>
      <c r="B286" s="90" t="s">
        <v>64</v>
      </c>
      <c r="C286" s="315"/>
      <c r="D286" s="16">
        <v>4271.5</v>
      </c>
      <c r="E286" s="183">
        <f>0.61*12</f>
        <v>7.32</v>
      </c>
      <c r="F286" s="78">
        <f>D286*E286</f>
        <v>31267.38</v>
      </c>
      <c r="G286" s="148"/>
      <c r="H286" s="240"/>
      <c r="I286" s="240"/>
      <c r="J286" s="240"/>
      <c r="K286" s="150"/>
      <c r="L286" s="65"/>
    </row>
    <row r="287" spans="1:19" ht="12.75" customHeight="1">
      <c r="A287" s="98"/>
      <c r="B287" s="7"/>
      <c r="C287" s="315"/>
      <c r="D287" s="6"/>
      <c r="E287" s="4"/>
      <c r="F287" s="80"/>
      <c r="G287" s="26" t="s">
        <v>8</v>
      </c>
      <c r="H287" s="241"/>
      <c r="I287" s="241"/>
      <c r="J287" s="241"/>
      <c r="K287" s="152">
        <f>SUM(K286:K286)</f>
        <v>0</v>
      </c>
      <c r="L287" s="65"/>
    </row>
    <row r="288" spans="1:19" ht="12.75" customHeight="1">
      <c r="A288" s="98"/>
      <c r="B288" s="7"/>
      <c r="C288" s="315"/>
      <c r="D288" s="6"/>
      <c r="E288" s="4"/>
      <c r="F288" s="78"/>
      <c r="G288" s="26" t="s">
        <v>9</v>
      </c>
      <c r="H288" s="241"/>
      <c r="I288" s="241"/>
      <c r="J288" s="241"/>
      <c r="K288" s="152">
        <f>F286-K287</f>
        <v>31267.38</v>
      </c>
      <c r="L288" s="65"/>
    </row>
    <row r="289" spans="1:12" ht="12.75" customHeight="1">
      <c r="A289" s="98">
        <v>57</v>
      </c>
      <c r="B289" s="100" t="s">
        <v>54</v>
      </c>
      <c r="C289" s="108" t="s">
        <v>55</v>
      </c>
      <c r="D289" s="101"/>
      <c r="E289" s="102"/>
      <c r="F289" s="103"/>
      <c r="G289" s="104"/>
      <c r="H289" s="250"/>
      <c r="I289" s="250"/>
      <c r="J289" s="250"/>
      <c r="K289" s="162"/>
      <c r="L289" s="105"/>
    </row>
    <row r="290" spans="1:12" ht="12.75" customHeight="1">
      <c r="A290" s="123"/>
      <c r="B290" s="90" t="s">
        <v>64</v>
      </c>
      <c r="C290" s="315"/>
      <c r="D290" s="16">
        <v>4785.1000000000004</v>
      </c>
      <c r="E290" s="183">
        <f>0.61*12</f>
        <v>7.32</v>
      </c>
      <c r="F290" s="78">
        <f>D290*E290</f>
        <v>35026.932000000001</v>
      </c>
      <c r="G290" s="67"/>
      <c r="H290" s="249"/>
      <c r="I290" s="249"/>
      <c r="J290" s="249"/>
      <c r="K290" s="150"/>
      <c r="L290" s="65"/>
    </row>
    <row r="291" spans="1:12" ht="12.75" customHeight="1">
      <c r="A291" s="123"/>
      <c r="B291" s="7"/>
      <c r="C291" s="315"/>
      <c r="D291" s="6"/>
      <c r="E291" s="4"/>
      <c r="F291" s="80"/>
      <c r="G291" s="26" t="s">
        <v>8</v>
      </c>
      <c r="H291" s="241"/>
      <c r="I291" s="241"/>
      <c r="J291" s="241"/>
      <c r="K291" s="152">
        <f>SUM(K290:K290)</f>
        <v>0</v>
      </c>
      <c r="L291" s="65"/>
    </row>
    <row r="292" spans="1:12" ht="12.75" customHeight="1">
      <c r="A292" s="123"/>
      <c r="B292" s="7"/>
      <c r="C292" s="315"/>
      <c r="D292" s="6"/>
      <c r="E292" s="4"/>
      <c r="F292" s="78"/>
      <c r="G292" s="26" t="s">
        <v>9</v>
      </c>
      <c r="H292" s="241"/>
      <c r="I292" s="241"/>
      <c r="J292" s="241"/>
      <c r="K292" s="152">
        <f>F290-K291</f>
        <v>35026.932000000001</v>
      </c>
      <c r="L292" s="65"/>
    </row>
    <row r="293" spans="1:12" ht="12.75" customHeight="1">
      <c r="F293" s="84"/>
    </row>
    <row r="294" spans="1:12" ht="12.75" customHeight="1">
      <c r="F294" s="84"/>
    </row>
    <row r="295" spans="1:12" ht="12.75" customHeight="1">
      <c r="F295" s="84"/>
    </row>
    <row r="296" spans="1:12" ht="12.75" customHeight="1">
      <c r="F296" s="84"/>
    </row>
    <row r="297" spans="1:12" ht="12.75" customHeight="1">
      <c r="F297" s="84"/>
    </row>
    <row r="298" spans="1:12" ht="12.75" customHeight="1">
      <c r="F298" s="84"/>
    </row>
    <row r="299" spans="1:12" ht="12.75" customHeight="1">
      <c r="F299" s="84"/>
    </row>
    <row r="300" spans="1:12" ht="12.75" customHeight="1">
      <c r="F300" s="84"/>
    </row>
    <row r="301" spans="1:12" ht="12.75" customHeight="1">
      <c r="F301" s="84"/>
    </row>
    <row r="302" spans="1:12" ht="12.75" customHeight="1">
      <c r="F302" s="84"/>
    </row>
    <row r="303" spans="1:12" ht="12.75" customHeight="1">
      <c r="F303" s="84"/>
    </row>
    <row r="304" spans="1:12" ht="12.75" customHeight="1">
      <c r="F304" s="84"/>
    </row>
    <row r="305" spans="6:6" ht="12.75" customHeight="1">
      <c r="F305" s="84"/>
    </row>
    <row r="306" spans="6:6" ht="12.75" customHeight="1">
      <c r="F306" s="84"/>
    </row>
    <row r="307" spans="6:6" ht="12.75" customHeight="1">
      <c r="F307" s="84"/>
    </row>
    <row r="308" spans="6:6" ht="12.75" customHeight="1">
      <c r="F308" s="84"/>
    </row>
    <row r="309" spans="6:6" ht="12.75" customHeight="1">
      <c r="F309" s="84"/>
    </row>
    <row r="310" spans="6:6" ht="12.75" customHeight="1">
      <c r="F310" s="84"/>
    </row>
    <row r="311" spans="6:6" ht="12.75" customHeight="1">
      <c r="F311" s="84"/>
    </row>
    <row r="312" spans="6:6" ht="12.75" customHeight="1"/>
    <row r="313" spans="6:6" ht="12.75" customHeight="1"/>
    <row r="314" spans="6:6" ht="12.75" customHeight="1"/>
    <row r="315" spans="6:6" ht="12.75" customHeight="1"/>
    <row r="316" spans="6:6" ht="12.75" customHeight="1"/>
    <row r="317" spans="6:6" ht="12.75" customHeight="1"/>
    <row r="318" spans="6:6" ht="12.75" customHeight="1"/>
    <row r="319" spans="6:6" ht="12.75" customHeight="1"/>
    <row r="320" spans="6:6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</sheetData>
  <mergeCells count="13">
    <mergeCell ref="L211:M211"/>
    <mergeCell ref="G2:K2"/>
    <mergeCell ref="L2:L3"/>
    <mergeCell ref="M5:N5"/>
    <mergeCell ref="M6:P6"/>
    <mergeCell ref="L80:M80"/>
    <mergeCell ref="M86:O86"/>
    <mergeCell ref="F2:F3"/>
    <mergeCell ref="A2:A3"/>
    <mergeCell ref="B2:B3"/>
    <mergeCell ref="C2:C3"/>
    <mergeCell ref="D2:D3"/>
    <mergeCell ref="E2:E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5"/>
  <sheetViews>
    <sheetView view="pageBreakPreview" topLeftCell="A3" zoomScale="130" zoomScaleNormal="100" zoomScaleSheetLayoutView="130" workbookViewId="0">
      <selection activeCell="D23" sqref="D23"/>
    </sheetView>
  </sheetViews>
  <sheetFormatPr defaultRowHeight="15"/>
  <cols>
    <col min="1" max="1" width="12.42578125" customWidth="1"/>
    <col min="2" max="2" width="4.140625" style="112" customWidth="1"/>
    <col min="3" max="3" width="40.85546875" customWidth="1"/>
    <col min="4" max="5" width="7.42578125" style="75" customWidth="1"/>
    <col min="6" max="6" width="21.140625" customWidth="1"/>
    <col min="7" max="7" width="12.7109375" bestFit="1" customWidth="1"/>
    <col min="8" max="8" width="11.140625" customWidth="1"/>
    <col min="10" max="10" width="9.28515625" bestFit="1" customWidth="1"/>
    <col min="11" max="11" width="18.7109375" customWidth="1"/>
    <col min="12" max="12" width="28.5703125" customWidth="1"/>
    <col min="13" max="13" width="10" style="76" bestFit="1" customWidth="1"/>
    <col min="14" max="14" width="29.42578125" customWidth="1"/>
    <col min="15" max="15" width="9.28515625" bestFit="1" customWidth="1"/>
  </cols>
  <sheetData>
    <row r="1" spans="1:14">
      <c r="A1" s="170"/>
      <c r="B1" s="109"/>
      <c r="C1" s="1"/>
      <c r="D1" s="332" t="s">
        <v>311</v>
      </c>
      <c r="E1" s="332"/>
      <c r="F1" s="332"/>
    </row>
    <row r="2" spans="1:14" ht="15" customHeight="1">
      <c r="A2" s="321" t="s">
        <v>1</v>
      </c>
      <c r="B2" s="322" t="s">
        <v>2</v>
      </c>
      <c r="C2" s="325" t="s">
        <v>62</v>
      </c>
      <c r="D2" s="325"/>
      <c r="E2" s="325"/>
      <c r="F2" s="333" t="s">
        <v>5</v>
      </c>
    </row>
    <row r="3" spans="1:14" ht="24.75">
      <c r="A3" s="321"/>
      <c r="B3" s="322"/>
      <c r="C3" s="300" t="s">
        <v>61</v>
      </c>
      <c r="D3" s="8" t="s">
        <v>91</v>
      </c>
      <c r="E3" s="8" t="s">
        <v>95</v>
      </c>
      <c r="F3" s="334"/>
    </row>
    <row r="4" spans="1:14" ht="12.75" customHeight="1">
      <c r="A4" s="35" t="s">
        <v>7</v>
      </c>
      <c r="B4" s="110">
        <v>2</v>
      </c>
      <c r="C4" s="64"/>
      <c r="D4" s="237"/>
      <c r="E4" s="237"/>
      <c r="F4" s="21"/>
    </row>
    <row r="5" spans="1:14" s="107" customFormat="1">
      <c r="A5" s="212"/>
      <c r="B5" s="304"/>
      <c r="C5" s="148"/>
      <c r="D5" s="240"/>
      <c r="E5" s="240"/>
      <c r="F5" s="305"/>
      <c r="G5" s="306"/>
      <c r="H5" s="306"/>
      <c r="L5" s="307"/>
      <c r="M5" s="129"/>
    </row>
    <row r="6" spans="1:14" ht="12.75" customHeight="1">
      <c r="A6" s="23" t="s">
        <v>7</v>
      </c>
      <c r="B6" s="24">
        <v>4</v>
      </c>
      <c r="C6" s="38"/>
      <c r="D6" s="237"/>
      <c r="E6" s="237"/>
      <c r="F6" s="39"/>
      <c r="J6" s="76"/>
      <c r="K6" s="142"/>
      <c r="L6" s="132"/>
      <c r="M6" s="128"/>
    </row>
    <row r="7" spans="1:14" s="107" customFormat="1">
      <c r="A7" s="212"/>
      <c r="B7" s="223"/>
      <c r="C7" s="148" t="s">
        <v>312</v>
      </c>
      <c r="D7" s="240">
        <v>4</v>
      </c>
      <c r="E7" s="240" t="s">
        <v>97</v>
      </c>
      <c r="F7" s="93"/>
      <c r="J7" s="129"/>
      <c r="K7" s="142"/>
      <c r="L7" s="224"/>
      <c r="M7" s="225"/>
    </row>
    <row r="8" spans="1:14" ht="12.75" customHeight="1">
      <c r="A8" s="23" t="s">
        <v>7</v>
      </c>
      <c r="B8" s="34" t="s">
        <v>13</v>
      </c>
      <c r="C8" s="43"/>
      <c r="D8" s="235"/>
      <c r="E8" s="235"/>
      <c r="F8" s="31"/>
      <c r="J8" s="143"/>
      <c r="K8" s="131"/>
      <c r="L8" s="124"/>
      <c r="M8" s="146"/>
      <c r="N8" s="144"/>
    </row>
    <row r="9" spans="1:14" s="107" customFormat="1" ht="26.25" customHeight="1">
      <c r="A9" s="212"/>
      <c r="B9" s="308"/>
      <c r="C9" s="291" t="s">
        <v>313</v>
      </c>
      <c r="D9" s="240">
        <v>4</v>
      </c>
      <c r="E9" s="240" t="s">
        <v>97</v>
      </c>
      <c r="F9" s="93" t="s">
        <v>233</v>
      </c>
      <c r="J9" s="309"/>
      <c r="L9" s="216"/>
      <c r="M9" s="217"/>
    </row>
    <row r="10" spans="1:14" ht="12.75" customHeight="1">
      <c r="A10" s="23" t="s">
        <v>7</v>
      </c>
      <c r="B10" s="34" t="s">
        <v>14</v>
      </c>
      <c r="C10" s="44"/>
      <c r="D10" s="236"/>
      <c r="E10" s="236"/>
      <c r="F10" s="39"/>
    </row>
    <row r="11" spans="1:14" ht="26.25" customHeight="1">
      <c r="A11" s="186"/>
      <c r="B11" s="5"/>
      <c r="C11" s="147" t="s">
        <v>243</v>
      </c>
      <c r="D11" s="229">
        <v>4</v>
      </c>
      <c r="E11" s="229" t="s">
        <v>97</v>
      </c>
      <c r="F11" s="66"/>
    </row>
    <row r="12" spans="1:14" ht="12.75" customHeight="1">
      <c r="A12" s="23" t="s">
        <v>7</v>
      </c>
      <c r="B12" s="34" t="s">
        <v>16</v>
      </c>
      <c r="C12" s="43"/>
      <c r="D12" s="235"/>
      <c r="E12" s="235"/>
      <c r="F12" s="39"/>
    </row>
    <row r="13" spans="1:14">
      <c r="A13" s="33"/>
      <c r="B13" s="13"/>
      <c r="C13" s="126" t="s">
        <v>137</v>
      </c>
      <c r="D13" s="233">
        <v>1</v>
      </c>
      <c r="E13" s="233" t="s">
        <v>97</v>
      </c>
      <c r="F13" s="300"/>
    </row>
    <row r="14" spans="1:14">
      <c r="A14" s="23" t="s">
        <v>7</v>
      </c>
      <c r="B14" s="34" t="s">
        <v>17</v>
      </c>
      <c r="C14" s="43"/>
      <c r="D14" s="235"/>
      <c r="E14" s="235"/>
      <c r="F14" s="39"/>
    </row>
    <row r="15" spans="1:14">
      <c r="A15" s="33"/>
      <c r="B15" s="13"/>
      <c r="C15" s="126" t="s">
        <v>307</v>
      </c>
      <c r="D15" s="233">
        <v>3</v>
      </c>
      <c r="E15" s="233" t="s">
        <v>97</v>
      </c>
      <c r="F15" s="300"/>
    </row>
    <row r="16" spans="1:14" ht="12.75" customHeight="1">
      <c r="A16" s="23" t="s">
        <v>21</v>
      </c>
      <c r="B16" s="24" t="s">
        <v>23</v>
      </c>
      <c r="C16" s="54"/>
      <c r="D16" s="239"/>
      <c r="E16" s="239"/>
      <c r="F16" s="39"/>
    </row>
    <row r="17" spans="1:13" s="144" customFormat="1" ht="12.75" customHeight="1">
      <c r="A17" s="33"/>
      <c r="B17" s="301"/>
      <c r="C17" s="126" t="s">
        <v>314</v>
      </c>
      <c r="D17" s="240">
        <v>1</v>
      </c>
      <c r="E17" s="240" t="s">
        <v>97</v>
      </c>
      <c r="F17" s="289"/>
      <c r="G17" s="290"/>
      <c r="M17" s="145"/>
    </row>
    <row r="18" spans="1:13" ht="12.75" customHeight="1">
      <c r="A18" s="23" t="s">
        <v>21</v>
      </c>
      <c r="B18" s="24" t="s">
        <v>22</v>
      </c>
      <c r="C18" s="41"/>
      <c r="D18" s="235"/>
      <c r="E18" s="235"/>
      <c r="F18" s="39"/>
      <c r="G18" s="290"/>
    </row>
    <row r="19" spans="1:13" ht="12.75" customHeight="1">
      <c r="A19" s="186"/>
      <c r="B19" s="17"/>
      <c r="C19" s="148" t="s">
        <v>242</v>
      </c>
      <c r="D19" s="240">
        <v>1</v>
      </c>
      <c r="E19" s="240" t="s">
        <v>97</v>
      </c>
      <c r="F19" s="91"/>
      <c r="G19" s="290"/>
    </row>
    <row r="20" spans="1:13" ht="12.75" customHeight="1">
      <c r="A20" s="23" t="s">
        <v>21</v>
      </c>
      <c r="B20" s="24" t="s">
        <v>19</v>
      </c>
      <c r="C20" s="41"/>
      <c r="D20" s="235"/>
      <c r="E20" s="235"/>
      <c r="F20" s="39"/>
      <c r="G20" s="290"/>
    </row>
    <row r="21" spans="1:13" ht="12.75" customHeight="1">
      <c r="A21" s="186"/>
      <c r="B21" s="17"/>
      <c r="C21" s="148" t="s">
        <v>315</v>
      </c>
      <c r="D21" s="240">
        <v>1</v>
      </c>
      <c r="E21" s="240" t="s">
        <v>97</v>
      </c>
      <c r="F21" s="91"/>
      <c r="G21" s="290"/>
    </row>
    <row r="22" spans="1:13" ht="12.75" customHeight="1">
      <c r="A22" s="23" t="s">
        <v>21</v>
      </c>
      <c r="B22" s="24" t="s">
        <v>24</v>
      </c>
      <c r="C22" s="54"/>
      <c r="D22" s="239"/>
      <c r="E22" s="239"/>
      <c r="F22" s="39"/>
    </row>
    <row r="23" spans="1:13">
      <c r="A23" s="186"/>
      <c r="B23" s="301"/>
      <c r="C23" s="172" t="s">
        <v>318</v>
      </c>
      <c r="D23" s="246">
        <v>2</v>
      </c>
      <c r="E23" s="246" t="s">
        <v>97</v>
      </c>
      <c r="F23" s="10"/>
    </row>
    <row r="24" spans="1:13">
      <c r="A24" s="23" t="s">
        <v>28</v>
      </c>
      <c r="B24" s="24" t="s">
        <v>29</v>
      </c>
      <c r="C24" s="41"/>
      <c r="D24" s="235"/>
      <c r="E24" s="235"/>
      <c r="F24" s="39"/>
    </row>
    <row r="25" spans="1:13">
      <c r="A25" s="186"/>
      <c r="B25" s="17"/>
      <c r="C25" s="148" t="s">
        <v>263</v>
      </c>
      <c r="D25" s="240">
        <v>1</v>
      </c>
      <c r="E25" s="240" t="s">
        <v>97</v>
      </c>
      <c r="F25" s="91"/>
    </row>
    <row r="26" spans="1:13" ht="12.75" customHeight="1">
      <c r="A26" s="23" t="s">
        <v>28</v>
      </c>
      <c r="B26" s="24" t="s">
        <v>24</v>
      </c>
      <c r="C26" s="41"/>
      <c r="D26" s="235"/>
      <c r="E26" s="235"/>
      <c r="F26" s="39"/>
    </row>
    <row r="27" spans="1:13">
      <c r="A27" s="186"/>
      <c r="B27" s="17"/>
      <c r="C27" s="148" t="s">
        <v>94</v>
      </c>
      <c r="D27" s="240">
        <v>1</v>
      </c>
      <c r="E27" s="240" t="s">
        <v>97</v>
      </c>
      <c r="F27" s="91"/>
      <c r="G27" s="95"/>
      <c r="H27" s="95"/>
    </row>
    <row r="28" spans="1:13" ht="12.75" customHeight="1">
      <c r="A28" s="31" t="s">
        <v>30</v>
      </c>
      <c r="B28" s="24" t="s">
        <v>32</v>
      </c>
      <c r="C28" s="56"/>
      <c r="D28" s="236"/>
      <c r="E28" s="236"/>
      <c r="F28" s="22"/>
    </row>
    <row r="29" spans="1:13">
      <c r="A29" s="186"/>
      <c r="B29" s="301"/>
      <c r="C29" s="227" t="s">
        <v>70</v>
      </c>
      <c r="D29" s="253"/>
      <c r="E29" s="253"/>
      <c r="F29" s="228"/>
    </row>
    <row r="30" spans="1:13">
      <c r="A30" s="31" t="s">
        <v>30</v>
      </c>
      <c r="B30" s="24" t="s">
        <v>33</v>
      </c>
      <c r="C30" s="56"/>
      <c r="D30" s="236"/>
      <c r="E30" s="236"/>
      <c r="F30" s="22"/>
    </row>
    <row r="31" spans="1:13">
      <c r="A31" s="186"/>
      <c r="B31" s="301"/>
      <c r="C31" s="149" t="s">
        <v>250</v>
      </c>
      <c r="D31" s="240">
        <v>2</v>
      </c>
      <c r="E31" s="240"/>
      <c r="F31" s="91"/>
    </row>
    <row r="32" spans="1:13" ht="12.75" customHeight="1">
      <c r="A32" s="31" t="s">
        <v>30</v>
      </c>
      <c r="B32" s="24" t="s">
        <v>34</v>
      </c>
      <c r="C32" s="56"/>
      <c r="D32" s="236"/>
      <c r="E32" s="236"/>
      <c r="F32" s="22"/>
    </row>
    <row r="33" spans="1:6">
      <c r="A33" s="186"/>
      <c r="B33" s="301"/>
      <c r="C33" s="149" t="s">
        <v>204</v>
      </c>
      <c r="D33" s="240">
        <v>1</v>
      </c>
      <c r="E33" s="240"/>
      <c r="F33" s="91"/>
    </row>
    <row r="34" spans="1:6">
      <c r="A34" s="31" t="s">
        <v>30</v>
      </c>
      <c r="B34" s="24" t="s">
        <v>35</v>
      </c>
      <c r="C34" s="56"/>
      <c r="D34" s="236"/>
      <c r="E34" s="236"/>
      <c r="F34" s="22"/>
    </row>
    <row r="35" spans="1:6">
      <c r="A35" s="186"/>
      <c r="B35" s="301"/>
      <c r="C35" s="149" t="s">
        <v>286</v>
      </c>
      <c r="D35" s="240">
        <v>1</v>
      </c>
      <c r="E35" s="240"/>
      <c r="F35" s="91"/>
    </row>
    <row r="36" spans="1:6">
      <c r="A36" s="23" t="s">
        <v>18</v>
      </c>
      <c r="B36" s="34" t="s">
        <v>20</v>
      </c>
      <c r="C36" s="43"/>
      <c r="D36" s="235"/>
      <c r="E36" s="235"/>
      <c r="F36" s="31"/>
    </row>
    <row r="37" spans="1:6" ht="24">
      <c r="A37" s="186"/>
      <c r="B37" s="189"/>
      <c r="C37" s="291" t="s">
        <v>240</v>
      </c>
      <c r="D37" s="240">
        <v>1</v>
      </c>
      <c r="E37" s="240" t="s">
        <v>97</v>
      </c>
      <c r="F37" s="228" t="s">
        <v>241</v>
      </c>
    </row>
    <row r="38" spans="1:6" ht="12.75" customHeight="1">
      <c r="A38" s="100" t="s">
        <v>40</v>
      </c>
      <c r="B38" s="108">
        <v>28</v>
      </c>
      <c r="C38" s="181"/>
      <c r="D38" s="252"/>
      <c r="E38" s="252"/>
      <c r="F38" s="105"/>
    </row>
    <row r="39" spans="1:6" ht="12.75" customHeight="1">
      <c r="A39" s="186"/>
      <c r="B39" s="301"/>
      <c r="C39" s="149" t="s">
        <v>261</v>
      </c>
      <c r="D39" s="240">
        <v>1</v>
      </c>
      <c r="E39" s="240" t="s">
        <v>97</v>
      </c>
      <c r="F39" s="93"/>
    </row>
    <row r="40" spans="1:6" ht="12.75" customHeight="1">
      <c r="A40" s="100" t="s">
        <v>43</v>
      </c>
      <c r="B40" s="108">
        <v>3</v>
      </c>
      <c r="C40" s="104"/>
      <c r="D40" s="250"/>
      <c r="E40" s="250"/>
      <c r="F40" s="105"/>
    </row>
    <row r="41" spans="1:6" ht="24" customHeight="1">
      <c r="A41" s="33"/>
      <c r="B41" s="301"/>
      <c r="C41" s="148" t="s">
        <v>139</v>
      </c>
      <c r="D41" s="240">
        <v>1</v>
      </c>
      <c r="E41" s="240" t="s">
        <v>97</v>
      </c>
      <c r="F41" s="93" t="s">
        <v>316</v>
      </c>
    </row>
    <row r="42" spans="1:6">
      <c r="A42" s="100" t="s">
        <v>235</v>
      </c>
      <c r="B42" s="108" t="s">
        <v>284</v>
      </c>
      <c r="C42" s="104"/>
      <c r="D42" s="250"/>
      <c r="E42" s="250"/>
      <c r="F42" s="105"/>
    </row>
    <row r="43" spans="1:6">
      <c r="A43" s="186"/>
      <c r="B43" s="17"/>
      <c r="C43" s="149" t="s">
        <v>317</v>
      </c>
      <c r="D43" s="240">
        <v>1</v>
      </c>
      <c r="E43" s="240" t="s">
        <v>97</v>
      </c>
      <c r="F43" s="222"/>
    </row>
    <row r="44" spans="1:6">
      <c r="A44" s="100"/>
      <c r="B44" s="108"/>
      <c r="C44" s="104"/>
      <c r="D44" s="250"/>
      <c r="E44" s="250"/>
      <c r="F44" s="105"/>
    </row>
    <row r="45" spans="1:6" ht="12.75" customHeight="1">
      <c r="A45" s="186"/>
      <c r="B45" s="17"/>
      <c r="C45" s="148"/>
      <c r="D45" s="240"/>
      <c r="E45" s="240"/>
      <c r="F45" s="222"/>
    </row>
    <row r="46" spans="1:6" ht="12.75" customHeight="1">
      <c r="A46" s="100"/>
      <c r="B46" s="108"/>
      <c r="C46" s="104"/>
      <c r="D46" s="250"/>
      <c r="E46" s="250"/>
      <c r="F46" s="105"/>
    </row>
    <row r="47" spans="1:6" ht="12.75" customHeight="1">
      <c r="A47" s="90"/>
      <c r="B47" s="301"/>
      <c r="C47" s="148"/>
      <c r="D47" s="249"/>
      <c r="E47" s="240"/>
      <c r="F47" s="300"/>
    </row>
    <row r="48" spans="1:6" ht="12.75" customHeight="1">
      <c r="A48" s="100"/>
      <c r="B48" s="108"/>
      <c r="C48" s="181"/>
      <c r="D48" s="252"/>
      <c r="E48" s="252"/>
      <c r="F48" s="105"/>
    </row>
    <row r="49" spans="1:6" ht="12.75" customHeight="1">
      <c r="A49" s="90"/>
      <c r="B49" s="301"/>
      <c r="C49" s="148"/>
      <c r="D49" s="249"/>
      <c r="E49" s="240"/>
      <c r="F49" s="65"/>
    </row>
    <row r="50" spans="1:6" ht="12.75" customHeight="1">
      <c r="A50" s="100"/>
      <c r="B50" s="108"/>
      <c r="C50" s="104"/>
      <c r="D50" s="250"/>
      <c r="E50" s="250"/>
      <c r="F50" s="105"/>
    </row>
    <row r="51" spans="1:6">
      <c r="A51" s="90"/>
      <c r="B51" s="301"/>
      <c r="C51" s="148"/>
      <c r="D51" s="240"/>
      <c r="E51" s="240"/>
      <c r="F51" s="65"/>
    </row>
    <row r="52" spans="1:6">
      <c r="A52" s="90"/>
      <c r="B52" s="301"/>
      <c r="C52" s="148"/>
      <c r="D52" s="240"/>
      <c r="E52" s="240"/>
      <c r="F52" s="65"/>
    </row>
    <row r="53" spans="1:6" ht="12.75" customHeight="1">
      <c r="F53" s="95"/>
    </row>
    <row r="54" spans="1:6" ht="12.75" customHeight="1"/>
    <row r="55" spans="1:6" ht="12.75" customHeight="1"/>
    <row r="56" spans="1:6" ht="12.75" customHeight="1"/>
    <row r="57" spans="1:6" ht="12.75" customHeight="1"/>
    <row r="58" spans="1:6" ht="12.75" customHeight="1"/>
    <row r="59" spans="1:6" ht="12.75" customHeight="1"/>
    <row r="60" spans="1:6" ht="12.75" customHeight="1"/>
    <row r="61" spans="1:6" ht="12.75" customHeight="1"/>
    <row r="62" spans="1:6" ht="12.75" customHeight="1"/>
    <row r="63" spans="1:6" ht="12.75" customHeight="1"/>
    <row r="64" spans="1: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</sheetData>
  <mergeCells count="5">
    <mergeCell ref="D1:F1"/>
    <mergeCell ref="A2:A3"/>
    <mergeCell ref="B2:B3"/>
    <mergeCell ref="C2:E2"/>
    <mergeCell ref="F2:F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8"/>
  <sheetViews>
    <sheetView view="pageBreakPreview" topLeftCell="A25" zoomScale="130" zoomScaleNormal="100" zoomScaleSheetLayoutView="130" workbookViewId="0">
      <selection activeCell="G16" sqref="G16:I17"/>
    </sheetView>
  </sheetViews>
  <sheetFormatPr defaultRowHeight="15"/>
  <cols>
    <col min="1" max="1" width="12.42578125" customWidth="1"/>
    <col min="2" max="2" width="4.140625" style="112" customWidth="1"/>
    <col min="3" max="3" width="40.85546875" customWidth="1"/>
    <col min="4" max="5" width="7.42578125" style="75" customWidth="1"/>
    <col min="6" max="6" width="21.140625" customWidth="1"/>
    <col min="7" max="7" width="12.7109375" bestFit="1" customWidth="1"/>
    <col min="8" max="8" width="11.140625" customWidth="1"/>
    <col min="10" max="10" width="9.28515625" bestFit="1" customWidth="1"/>
    <col min="11" max="11" width="18.7109375" customWidth="1"/>
    <col min="12" max="12" width="28.5703125" customWidth="1"/>
    <col min="13" max="13" width="10" style="76" bestFit="1" customWidth="1"/>
    <col min="14" max="14" width="29.42578125" customWidth="1"/>
    <col min="15" max="15" width="9.28515625" bestFit="1" customWidth="1"/>
  </cols>
  <sheetData>
    <row r="1" spans="1:14">
      <c r="A1" s="170"/>
      <c r="B1" s="109"/>
      <c r="C1" s="1"/>
      <c r="D1" s="332" t="s">
        <v>244</v>
      </c>
      <c r="E1" s="332"/>
      <c r="F1" s="332"/>
    </row>
    <row r="2" spans="1:14" ht="15" customHeight="1">
      <c r="A2" s="321" t="s">
        <v>1</v>
      </c>
      <c r="B2" s="322" t="s">
        <v>2</v>
      </c>
      <c r="C2" s="325" t="s">
        <v>62</v>
      </c>
      <c r="D2" s="325"/>
      <c r="E2" s="325"/>
      <c r="F2" s="333" t="s">
        <v>5</v>
      </c>
    </row>
    <row r="3" spans="1:14" ht="24.75">
      <c r="A3" s="321"/>
      <c r="B3" s="322"/>
      <c r="C3" s="283" t="s">
        <v>61</v>
      </c>
      <c r="D3" s="8" t="s">
        <v>91</v>
      </c>
      <c r="E3" s="8" t="s">
        <v>95</v>
      </c>
      <c r="F3" s="334"/>
    </row>
    <row r="4" spans="1:14" ht="12.75" customHeight="1">
      <c r="A4" s="35" t="s">
        <v>7</v>
      </c>
      <c r="B4" s="110">
        <v>2</v>
      </c>
      <c r="C4" s="64"/>
      <c r="D4" s="237"/>
      <c r="E4" s="237"/>
      <c r="F4" s="21"/>
    </row>
    <row r="5" spans="1:14">
      <c r="A5" s="186"/>
      <c r="B5" s="187"/>
      <c r="C5" s="227" t="s">
        <v>231</v>
      </c>
      <c r="D5" s="253"/>
      <c r="E5" s="253" t="s">
        <v>101</v>
      </c>
      <c r="F5" s="285" t="s">
        <v>232</v>
      </c>
      <c r="G5" s="180"/>
      <c r="H5" s="180"/>
      <c r="K5" s="107"/>
      <c r="L5" s="75"/>
    </row>
    <row r="6" spans="1:14" ht="12.75" customHeight="1">
      <c r="A6" s="23" t="s">
        <v>7</v>
      </c>
      <c r="B6" s="24">
        <v>4</v>
      </c>
      <c r="C6" s="38"/>
      <c r="D6" s="237"/>
      <c r="E6" s="237"/>
      <c r="F6" s="39"/>
      <c r="J6" s="76"/>
      <c r="K6" s="142"/>
      <c r="L6" s="132"/>
      <c r="M6" s="128"/>
    </row>
    <row r="7" spans="1:14" s="107" customFormat="1">
      <c r="A7" s="212"/>
      <c r="B7" s="223"/>
      <c r="C7" s="148" t="s">
        <v>208</v>
      </c>
      <c r="D7" s="240">
        <v>2</v>
      </c>
      <c r="E7" s="240" t="s">
        <v>97</v>
      </c>
      <c r="F7" s="93"/>
      <c r="J7" s="129"/>
      <c r="K7" s="142"/>
      <c r="L7" s="224"/>
      <c r="M7" s="225"/>
    </row>
    <row r="8" spans="1:14" ht="12.75" customHeight="1">
      <c r="A8" s="23" t="s">
        <v>7</v>
      </c>
      <c r="B8" s="34" t="s">
        <v>13</v>
      </c>
      <c r="C8" s="43"/>
      <c r="D8" s="235"/>
      <c r="E8" s="235"/>
      <c r="F8" s="31"/>
      <c r="J8" s="143"/>
      <c r="K8" s="131"/>
      <c r="L8" s="124"/>
      <c r="M8" s="146"/>
      <c r="N8" s="144"/>
    </row>
    <row r="9" spans="1:14" ht="12.75" customHeight="1">
      <c r="A9" s="186"/>
      <c r="B9" s="189"/>
      <c r="C9" s="286" t="s">
        <v>295</v>
      </c>
      <c r="D9" s="253">
        <v>3</v>
      </c>
      <c r="E9" s="253" t="s">
        <v>97</v>
      </c>
      <c r="F9" s="228" t="s">
        <v>233</v>
      </c>
      <c r="J9" s="143"/>
      <c r="L9" s="144"/>
      <c r="M9" s="145"/>
    </row>
    <row r="10" spans="1:14" ht="12.75" customHeight="1">
      <c r="A10" s="23" t="s">
        <v>7</v>
      </c>
      <c r="B10" s="34" t="s">
        <v>14</v>
      </c>
      <c r="C10" s="44"/>
      <c r="D10" s="236"/>
      <c r="E10" s="236"/>
      <c r="F10" s="39"/>
    </row>
    <row r="11" spans="1:14" ht="26.25" customHeight="1">
      <c r="A11" s="186"/>
      <c r="B11" s="5"/>
      <c r="C11" s="147" t="s">
        <v>243</v>
      </c>
      <c r="D11" s="229">
        <v>4</v>
      </c>
      <c r="E11" s="229" t="s">
        <v>97</v>
      </c>
      <c r="F11" s="66"/>
    </row>
    <row r="12" spans="1:14" ht="12.75" customHeight="1">
      <c r="A12" s="23" t="s">
        <v>7</v>
      </c>
      <c r="B12" s="34" t="s">
        <v>16</v>
      </c>
      <c r="C12" s="43"/>
      <c r="D12" s="235"/>
      <c r="E12" s="235"/>
      <c r="F12" s="39"/>
    </row>
    <row r="13" spans="1:14">
      <c r="A13" s="33"/>
      <c r="B13" s="13"/>
      <c r="C13" s="126" t="s">
        <v>137</v>
      </c>
      <c r="D13" s="233">
        <v>1</v>
      </c>
      <c r="E13" s="233" t="s">
        <v>97</v>
      </c>
      <c r="F13" s="283"/>
    </row>
    <row r="14" spans="1:14" ht="12.75" customHeight="1">
      <c r="A14" s="23" t="s">
        <v>21</v>
      </c>
      <c r="B14" s="24" t="s">
        <v>23</v>
      </c>
      <c r="C14" s="54"/>
      <c r="D14" s="239"/>
      <c r="E14" s="239"/>
      <c r="F14" s="39"/>
    </row>
    <row r="15" spans="1:14" ht="12.75" customHeight="1">
      <c r="A15" s="186"/>
      <c r="B15" s="17"/>
      <c r="C15" s="227" t="s">
        <v>234</v>
      </c>
      <c r="D15" s="253"/>
      <c r="E15" s="253" t="s">
        <v>101</v>
      </c>
      <c r="F15" s="288" t="s">
        <v>236</v>
      </c>
      <c r="G15" s="287"/>
    </row>
    <row r="16" spans="1:14" ht="12.75" customHeight="1">
      <c r="A16" s="186"/>
      <c r="B16" s="17"/>
      <c r="C16" s="231" t="s">
        <v>137</v>
      </c>
      <c r="D16" s="240">
        <v>1</v>
      </c>
      <c r="E16" s="240" t="s">
        <v>97</v>
      </c>
      <c r="F16" s="289"/>
      <c r="G16" s="290"/>
    </row>
    <row r="17" spans="1:8" ht="12.75" customHeight="1">
      <c r="A17" s="23" t="s">
        <v>21</v>
      </c>
      <c r="B17" s="24" t="s">
        <v>22</v>
      </c>
      <c r="C17" s="41"/>
      <c r="D17" s="235"/>
      <c r="E17" s="235"/>
      <c r="F17" s="39"/>
      <c r="G17" s="290"/>
    </row>
    <row r="18" spans="1:8" ht="12.75" customHeight="1">
      <c r="A18" s="186"/>
      <c r="B18" s="17"/>
      <c r="C18" s="148" t="s">
        <v>242</v>
      </c>
      <c r="D18" s="240">
        <v>1</v>
      </c>
      <c r="E18" s="240" t="s">
        <v>97</v>
      </c>
      <c r="F18" s="91"/>
      <c r="G18" s="290"/>
    </row>
    <row r="19" spans="1:8" ht="12.75" customHeight="1">
      <c r="A19" s="23" t="s">
        <v>21</v>
      </c>
      <c r="B19" s="24" t="s">
        <v>24</v>
      </c>
      <c r="C19" s="54"/>
      <c r="D19" s="239"/>
      <c r="E19" s="239"/>
      <c r="F19" s="39"/>
    </row>
    <row r="20" spans="1:8">
      <c r="A20" s="186"/>
      <c r="B20" s="284"/>
      <c r="C20" s="172" t="s">
        <v>141</v>
      </c>
      <c r="D20" s="246">
        <v>1</v>
      </c>
      <c r="E20" s="246" t="s">
        <v>97</v>
      </c>
      <c r="F20" s="10"/>
    </row>
    <row r="21" spans="1:8">
      <c r="A21" s="23" t="s">
        <v>28</v>
      </c>
      <c r="B21" s="24" t="s">
        <v>29</v>
      </c>
      <c r="C21" s="41"/>
      <c r="D21" s="235"/>
      <c r="E21" s="235"/>
      <c r="F21" s="39"/>
    </row>
    <row r="22" spans="1:8">
      <c r="A22" s="186"/>
      <c r="B22" s="17"/>
      <c r="C22" s="148" t="s">
        <v>263</v>
      </c>
      <c r="D22" s="240">
        <v>1</v>
      </c>
      <c r="E22" s="240" t="s">
        <v>97</v>
      </c>
      <c r="F22" s="91"/>
    </row>
    <row r="23" spans="1:8" ht="12.75" customHeight="1">
      <c r="A23" s="23" t="s">
        <v>28</v>
      </c>
      <c r="B23" s="24" t="s">
        <v>24</v>
      </c>
      <c r="C23" s="41"/>
      <c r="D23" s="235"/>
      <c r="E23" s="235"/>
      <c r="F23" s="39"/>
    </row>
    <row r="24" spans="1:8">
      <c r="A24" s="186"/>
      <c r="B24" s="17"/>
      <c r="C24" s="148" t="s">
        <v>94</v>
      </c>
      <c r="D24" s="240">
        <v>1</v>
      </c>
      <c r="E24" s="240" t="s">
        <v>97</v>
      </c>
      <c r="F24" s="91"/>
      <c r="G24" s="95"/>
      <c r="H24" s="95"/>
    </row>
    <row r="25" spans="1:8" ht="12.75" customHeight="1">
      <c r="A25" s="31" t="s">
        <v>30</v>
      </c>
      <c r="B25" s="24" t="s">
        <v>32</v>
      </c>
      <c r="C25" s="56"/>
      <c r="D25" s="236"/>
      <c r="E25" s="236"/>
      <c r="F25" s="22"/>
    </row>
    <row r="26" spans="1:8">
      <c r="A26" s="186"/>
      <c r="B26" s="284"/>
      <c r="C26" s="227" t="s">
        <v>70</v>
      </c>
      <c r="D26" s="253"/>
      <c r="E26" s="253"/>
      <c r="F26" s="228"/>
    </row>
    <row r="27" spans="1:8">
      <c r="A27" s="31" t="s">
        <v>30</v>
      </c>
      <c r="B27" s="24" t="s">
        <v>33</v>
      </c>
      <c r="C27" s="56"/>
      <c r="D27" s="236"/>
      <c r="E27" s="236"/>
      <c r="F27" s="22"/>
    </row>
    <row r="28" spans="1:8">
      <c r="A28" s="186"/>
      <c r="B28" s="292"/>
      <c r="C28" s="149" t="s">
        <v>250</v>
      </c>
      <c r="D28" s="240">
        <v>2</v>
      </c>
      <c r="E28" s="240"/>
      <c r="F28" s="91"/>
    </row>
    <row r="29" spans="1:8" ht="12.75" customHeight="1">
      <c r="A29" s="31" t="s">
        <v>30</v>
      </c>
      <c r="B29" s="24" t="s">
        <v>34</v>
      </c>
      <c r="C29" s="56"/>
      <c r="D29" s="236"/>
      <c r="E29" s="236"/>
      <c r="F29" s="22"/>
    </row>
    <row r="30" spans="1:8">
      <c r="A30" s="186"/>
      <c r="B30" s="284"/>
      <c r="C30" s="149" t="s">
        <v>204</v>
      </c>
      <c r="D30" s="240">
        <v>1</v>
      </c>
      <c r="E30" s="240"/>
      <c r="F30" s="91"/>
    </row>
    <row r="31" spans="1:8">
      <c r="A31" s="31" t="s">
        <v>30</v>
      </c>
      <c r="B31" s="24" t="s">
        <v>35</v>
      </c>
      <c r="C31" s="56"/>
      <c r="D31" s="236"/>
      <c r="E31" s="236"/>
      <c r="F31" s="22"/>
    </row>
    <row r="32" spans="1:8">
      <c r="A32" s="186"/>
      <c r="B32" s="299"/>
      <c r="C32" s="149" t="s">
        <v>286</v>
      </c>
      <c r="D32" s="240">
        <v>1</v>
      </c>
      <c r="E32" s="240"/>
      <c r="F32" s="91"/>
    </row>
    <row r="33" spans="1:6">
      <c r="A33" s="23" t="s">
        <v>18</v>
      </c>
      <c r="B33" s="34" t="s">
        <v>20</v>
      </c>
      <c r="C33" s="43"/>
      <c r="D33" s="235"/>
      <c r="E33" s="235"/>
      <c r="F33" s="31"/>
    </row>
    <row r="34" spans="1:6" ht="24">
      <c r="A34" s="186"/>
      <c r="B34" s="189"/>
      <c r="C34" s="291" t="s">
        <v>240</v>
      </c>
      <c r="D34" s="240">
        <v>1</v>
      </c>
      <c r="E34" s="240" t="s">
        <v>97</v>
      </c>
      <c r="F34" s="228" t="s">
        <v>241</v>
      </c>
    </row>
    <row r="35" spans="1:6" ht="12.75" customHeight="1">
      <c r="A35" s="100" t="s">
        <v>38</v>
      </c>
      <c r="B35" s="108">
        <v>46</v>
      </c>
      <c r="C35" s="104"/>
      <c r="D35" s="250"/>
      <c r="E35" s="250"/>
      <c r="F35" s="105"/>
    </row>
    <row r="36" spans="1:6" ht="12.75" customHeight="1">
      <c r="A36" s="186"/>
      <c r="B36" s="17"/>
      <c r="C36" s="148" t="s">
        <v>88</v>
      </c>
      <c r="D36" s="249">
        <v>4</v>
      </c>
      <c r="E36" s="240" t="s">
        <v>107</v>
      </c>
      <c r="F36" s="93"/>
    </row>
    <row r="37" spans="1:6" ht="12.75" customHeight="1">
      <c r="A37" s="100" t="s">
        <v>39</v>
      </c>
      <c r="B37" s="108">
        <v>24</v>
      </c>
      <c r="C37" s="104"/>
      <c r="D37" s="250"/>
      <c r="E37" s="250"/>
      <c r="F37" s="105"/>
    </row>
    <row r="38" spans="1:6">
      <c r="A38" s="186"/>
      <c r="B38" s="17"/>
      <c r="C38" s="148" t="s">
        <v>237</v>
      </c>
      <c r="D38" s="249">
        <v>49</v>
      </c>
      <c r="E38" s="240" t="s">
        <v>101</v>
      </c>
      <c r="F38" s="93"/>
    </row>
    <row r="39" spans="1:6" ht="12.75" customHeight="1">
      <c r="A39" s="100" t="s">
        <v>40</v>
      </c>
      <c r="B39" s="108">
        <v>28</v>
      </c>
      <c r="C39" s="181"/>
      <c r="D39" s="252"/>
      <c r="E39" s="252"/>
      <c r="F39" s="105"/>
    </row>
    <row r="40" spans="1:6" ht="12.75" customHeight="1">
      <c r="A40" s="186"/>
      <c r="B40" s="284"/>
      <c r="C40" s="148" t="s">
        <v>165</v>
      </c>
      <c r="D40" s="249">
        <v>157</v>
      </c>
      <c r="E40" s="240" t="s">
        <v>101</v>
      </c>
      <c r="F40" s="93"/>
    </row>
    <row r="41" spans="1:6" ht="12.75" customHeight="1">
      <c r="A41" s="186"/>
      <c r="B41" s="297"/>
      <c r="C41" s="149" t="s">
        <v>261</v>
      </c>
      <c r="D41" s="249"/>
      <c r="E41" s="240"/>
      <c r="F41" s="93"/>
    </row>
    <row r="42" spans="1:6" ht="12.75" customHeight="1">
      <c r="A42" s="100" t="s">
        <v>39</v>
      </c>
      <c r="B42" s="108">
        <v>30</v>
      </c>
      <c r="C42" s="104"/>
      <c r="D42" s="250"/>
      <c r="E42" s="250"/>
      <c r="F42" s="105"/>
    </row>
    <row r="43" spans="1:6" ht="12.75" customHeight="1">
      <c r="A43" s="186"/>
      <c r="B43" s="17"/>
      <c r="C43" s="227" t="s">
        <v>108</v>
      </c>
      <c r="D43" s="253"/>
      <c r="E43" s="253"/>
      <c r="F43" s="228" t="s">
        <v>83</v>
      </c>
    </row>
    <row r="44" spans="1:6" ht="12.75" customHeight="1">
      <c r="A44" s="100" t="s">
        <v>41</v>
      </c>
      <c r="B44" s="108" t="s">
        <v>42</v>
      </c>
      <c r="C44" s="104"/>
      <c r="D44" s="250"/>
      <c r="E44" s="250"/>
      <c r="F44" s="105"/>
    </row>
    <row r="45" spans="1:6" ht="12.75" customHeight="1">
      <c r="A45" s="186"/>
      <c r="B45" s="17"/>
      <c r="C45" s="148" t="s">
        <v>183</v>
      </c>
      <c r="D45" s="249">
        <v>14</v>
      </c>
      <c r="E45" s="249" t="s">
        <v>101</v>
      </c>
      <c r="F45" s="93"/>
    </row>
    <row r="46" spans="1:6" ht="12.75" customHeight="1">
      <c r="A46" s="100" t="s">
        <v>43</v>
      </c>
      <c r="B46" s="108">
        <v>3</v>
      </c>
      <c r="C46" s="104"/>
      <c r="D46" s="250"/>
      <c r="E46" s="250"/>
      <c r="F46" s="105"/>
    </row>
    <row r="47" spans="1:6" ht="12.75" customHeight="1">
      <c r="A47" s="33"/>
      <c r="B47" s="284"/>
      <c r="C47" s="148" t="s">
        <v>209</v>
      </c>
      <c r="D47" s="249">
        <v>110</v>
      </c>
      <c r="E47" s="240" t="s">
        <v>101</v>
      </c>
      <c r="F47" s="93" t="s">
        <v>210</v>
      </c>
    </row>
    <row r="48" spans="1:6" ht="12.75" customHeight="1">
      <c r="A48" s="33"/>
      <c r="B48" s="284"/>
      <c r="C48" s="148" t="s">
        <v>139</v>
      </c>
      <c r="D48" s="240">
        <v>1</v>
      </c>
      <c r="E48" s="240" t="s">
        <v>97</v>
      </c>
      <c r="F48" s="93"/>
    </row>
    <row r="49" spans="1:6" ht="12.75" customHeight="1">
      <c r="A49" s="100" t="s">
        <v>44</v>
      </c>
      <c r="B49" s="108" t="s">
        <v>56</v>
      </c>
      <c r="C49" s="104"/>
      <c r="D49" s="250"/>
      <c r="E49" s="250"/>
      <c r="F49" s="105"/>
    </row>
    <row r="50" spans="1:6" ht="24">
      <c r="A50" s="186"/>
      <c r="B50" s="17"/>
      <c r="C50" s="148" t="s">
        <v>211</v>
      </c>
      <c r="D50" s="240">
        <f>32+8+10+20+16+68</f>
        <v>154</v>
      </c>
      <c r="E50" s="240"/>
      <c r="F50" s="222"/>
    </row>
    <row r="51" spans="1:6" ht="12.75" customHeight="1">
      <c r="A51" s="100" t="s">
        <v>45</v>
      </c>
      <c r="B51" s="108">
        <v>11</v>
      </c>
      <c r="C51" s="104"/>
      <c r="D51" s="250"/>
      <c r="E51" s="250"/>
      <c r="F51" s="105"/>
    </row>
    <row r="52" spans="1:6">
      <c r="A52" s="186"/>
      <c r="B52" s="17"/>
      <c r="C52" s="148" t="s">
        <v>212</v>
      </c>
      <c r="D52" s="249">
        <v>30</v>
      </c>
      <c r="E52" s="240" t="s">
        <v>101</v>
      </c>
      <c r="F52" s="93"/>
    </row>
    <row r="53" spans="1:6" ht="12.75" customHeight="1">
      <c r="A53" s="100" t="s">
        <v>45</v>
      </c>
      <c r="B53" s="108">
        <v>13</v>
      </c>
      <c r="C53" s="104"/>
      <c r="D53" s="250"/>
      <c r="E53" s="250"/>
      <c r="F53" s="105"/>
    </row>
    <row r="54" spans="1:6" ht="24">
      <c r="A54" s="186"/>
      <c r="B54" s="284"/>
      <c r="C54" s="148" t="s">
        <v>238</v>
      </c>
      <c r="D54" s="240">
        <v>104</v>
      </c>
      <c r="E54" s="240" t="s">
        <v>101</v>
      </c>
      <c r="F54" s="93"/>
    </row>
    <row r="55" spans="1:6">
      <c r="A55" s="100" t="s">
        <v>235</v>
      </c>
      <c r="B55" s="108" t="s">
        <v>284</v>
      </c>
      <c r="C55" s="104"/>
      <c r="D55" s="250"/>
      <c r="E55" s="250"/>
      <c r="F55" s="105"/>
    </row>
    <row r="56" spans="1:6">
      <c r="A56" s="186"/>
      <c r="B56" s="17"/>
      <c r="C56" s="227" t="s">
        <v>285</v>
      </c>
      <c r="D56" s="253"/>
      <c r="E56" s="253"/>
      <c r="F56" s="298"/>
    </row>
    <row r="57" spans="1:6">
      <c r="A57" s="100" t="s">
        <v>235</v>
      </c>
      <c r="B57" s="108" t="s">
        <v>19</v>
      </c>
      <c r="C57" s="104"/>
      <c r="D57" s="250"/>
      <c r="E57" s="250"/>
      <c r="F57" s="105"/>
    </row>
    <row r="58" spans="1:6" ht="12.75" customHeight="1">
      <c r="A58" s="186"/>
      <c r="B58" s="17"/>
      <c r="C58" s="148" t="s">
        <v>188</v>
      </c>
      <c r="D58" s="240">
        <v>3</v>
      </c>
      <c r="E58" s="240" t="s">
        <v>107</v>
      </c>
      <c r="F58" s="222"/>
    </row>
    <row r="59" spans="1:6" ht="12.75" customHeight="1">
      <c r="A59" s="100" t="s">
        <v>47</v>
      </c>
      <c r="B59" s="108">
        <v>2</v>
      </c>
      <c r="C59" s="104"/>
      <c r="D59" s="250"/>
      <c r="E59" s="250"/>
      <c r="F59" s="105"/>
    </row>
    <row r="60" spans="1:6" ht="12.75" customHeight="1">
      <c r="A60" s="90"/>
      <c r="B60" s="284"/>
      <c r="C60" s="148" t="s">
        <v>214</v>
      </c>
      <c r="D60" s="249">
        <v>41</v>
      </c>
      <c r="E60" s="240"/>
      <c r="F60" s="283"/>
    </row>
    <row r="61" spans="1:6" ht="12.75" customHeight="1">
      <c r="A61" s="100" t="s">
        <v>47</v>
      </c>
      <c r="B61" s="108" t="s">
        <v>10</v>
      </c>
      <c r="C61" s="181"/>
      <c r="D61" s="252"/>
      <c r="E61" s="252"/>
      <c r="F61" s="105"/>
    </row>
    <row r="62" spans="1:6" ht="12.75" customHeight="1">
      <c r="A62" s="90"/>
      <c r="B62" s="284"/>
      <c r="C62" s="148" t="s">
        <v>215</v>
      </c>
      <c r="D62" s="249">
        <v>14</v>
      </c>
      <c r="E62" s="240" t="s">
        <v>101</v>
      </c>
      <c r="F62" s="65"/>
    </row>
    <row r="63" spans="1:6" ht="12.75" customHeight="1">
      <c r="A63" s="100" t="s">
        <v>46</v>
      </c>
      <c r="B63" s="108">
        <v>14</v>
      </c>
      <c r="C63" s="104"/>
      <c r="D63" s="250"/>
      <c r="E63" s="250"/>
      <c r="F63" s="105"/>
    </row>
    <row r="64" spans="1:6">
      <c r="A64" s="90" t="s">
        <v>64</v>
      </c>
      <c r="B64" s="284"/>
      <c r="C64" s="148" t="s">
        <v>87</v>
      </c>
      <c r="D64" s="240">
        <f>16+18</f>
        <v>34</v>
      </c>
      <c r="E64" s="240" t="s">
        <v>101</v>
      </c>
      <c r="F64" s="65"/>
    </row>
    <row r="65" spans="1:6">
      <c r="A65" s="90"/>
      <c r="B65" s="284"/>
      <c r="C65" s="148" t="s">
        <v>128</v>
      </c>
      <c r="D65" s="240">
        <v>1</v>
      </c>
      <c r="E65" s="240" t="s">
        <v>97</v>
      </c>
      <c r="F65" s="65"/>
    </row>
    <row r="66" spans="1:6" ht="12.75" customHeight="1">
      <c r="F66" s="95"/>
    </row>
    <row r="67" spans="1:6" ht="12.75" customHeight="1"/>
    <row r="68" spans="1:6" ht="12.75" customHeight="1"/>
    <row r="69" spans="1:6" ht="12.75" customHeight="1"/>
    <row r="70" spans="1:6" ht="12.75" customHeight="1"/>
    <row r="71" spans="1:6" ht="12.75" customHeight="1"/>
    <row r="72" spans="1:6" ht="12.75" customHeight="1"/>
    <row r="73" spans="1:6" ht="12.75" customHeight="1"/>
    <row r="74" spans="1:6" ht="12.75" customHeight="1"/>
    <row r="75" spans="1:6" ht="12.75" customHeight="1"/>
    <row r="76" spans="1:6" ht="12.75" customHeight="1"/>
    <row r="77" spans="1:6" ht="12.75" customHeight="1"/>
    <row r="78" spans="1:6" ht="12.75" customHeight="1"/>
    <row r="79" spans="1:6" ht="12.75" customHeight="1"/>
    <row r="80" spans="1:6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</sheetData>
  <mergeCells count="5">
    <mergeCell ref="D1:F1"/>
    <mergeCell ref="A2:A3"/>
    <mergeCell ref="B2:B3"/>
    <mergeCell ref="C2:E2"/>
    <mergeCell ref="F2:F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24"/>
  <sheetViews>
    <sheetView view="pageBreakPreview" topLeftCell="A28" zoomScale="150" zoomScaleNormal="100" zoomScaleSheetLayoutView="150" workbookViewId="0">
      <selection activeCell="H48" sqref="H48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8" width="7.42578125" style="262" customWidth="1"/>
    <col min="9" max="9" width="21.140625" customWidth="1"/>
    <col min="10" max="10" width="12.7109375" bestFit="1" customWidth="1"/>
    <col min="11" max="11" width="11.140625" customWidth="1"/>
    <col min="13" max="13" width="9.28515625" bestFit="1" customWidth="1"/>
    <col min="14" max="14" width="18.7109375" customWidth="1"/>
    <col min="15" max="15" width="28.5703125" customWidth="1"/>
    <col min="16" max="16" width="10" style="76" bestFit="1" customWidth="1"/>
    <col min="17" max="17" width="29.42578125" customWidth="1"/>
    <col min="18" max="18" width="9.28515625" bestFit="1" customWidth="1"/>
  </cols>
  <sheetData>
    <row r="1" spans="1:17">
      <c r="A1" s="171"/>
      <c r="B1" s="170"/>
      <c r="C1" s="109"/>
      <c r="D1" s="1"/>
      <c r="E1" s="332" t="s">
        <v>229</v>
      </c>
      <c r="F1" s="332"/>
      <c r="G1" s="332"/>
      <c r="H1" s="332"/>
      <c r="I1" s="332"/>
    </row>
    <row r="2" spans="1:17" ht="15" customHeight="1">
      <c r="A2" s="321" t="s">
        <v>0</v>
      </c>
      <c r="B2" s="321" t="s">
        <v>1</v>
      </c>
      <c r="C2" s="322" t="s">
        <v>2</v>
      </c>
      <c r="D2" s="325" t="s">
        <v>253</v>
      </c>
      <c r="E2" s="325"/>
      <c r="F2" s="325"/>
      <c r="G2" s="337" t="s">
        <v>254</v>
      </c>
      <c r="H2" s="337" t="s">
        <v>257</v>
      </c>
      <c r="I2" s="333" t="s">
        <v>5</v>
      </c>
    </row>
    <row r="3" spans="1:17" ht="24.75">
      <c r="A3" s="321"/>
      <c r="B3" s="321"/>
      <c r="C3" s="322"/>
      <c r="D3" s="283" t="s">
        <v>61</v>
      </c>
      <c r="E3" s="8" t="s">
        <v>91</v>
      </c>
      <c r="F3" s="8" t="s">
        <v>95</v>
      </c>
      <c r="G3" s="338"/>
      <c r="H3" s="338"/>
      <c r="I3" s="334"/>
    </row>
    <row r="4" spans="1:17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237"/>
      <c r="H4" s="237"/>
      <c r="I4" s="21"/>
    </row>
    <row r="5" spans="1:17" ht="24">
      <c r="A5" s="32"/>
      <c r="B5" s="186"/>
      <c r="C5" s="187"/>
      <c r="D5" s="148" t="s">
        <v>304</v>
      </c>
      <c r="E5" s="240">
        <f>23+14+10+35.5</f>
        <v>82.5</v>
      </c>
      <c r="F5" s="240" t="s">
        <v>101</v>
      </c>
      <c r="G5" s="249">
        <f>21+24+51</f>
        <v>96</v>
      </c>
      <c r="H5" s="240">
        <f>36+24</f>
        <v>60</v>
      </c>
      <c r="I5" s="89" t="s">
        <v>305</v>
      </c>
      <c r="J5" s="180"/>
      <c r="K5" s="180"/>
      <c r="N5" s="107"/>
      <c r="O5" s="75"/>
    </row>
    <row r="6" spans="1:17" ht="12.75" customHeight="1">
      <c r="A6" s="22">
        <v>2</v>
      </c>
      <c r="B6" s="23" t="s">
        <v>7</v>
      </c>
      <c r="C6" s="24">
        <v>4</v>
      </c>
      <c r="D6" s="38"/>
      <c r="E6" s="237"/>
      <c r="F6" s="237"/>
      <c r="G6" s="237"/>
      <c r="H6" s="237"/>
      <c r="I6" s="39"/>
      <c r="M6" s="76"/>
      <c r="N6" s="142"/>
      <c r="O6" s="132"/>
      <c r="P6" s="128"/>
    </row>
    <row r="7" spans="1:17" ht="24">
      <c r="A7" s="283"/>
      <c r="B7" s="186"/>
      <c r="C7" s="284"/>
      <c r="D7" s="148" t="s">
        <v>301</v>
      </c>
      <c r="E7" s="240">
        <f>15+26</f>
        <v>41</v>
      </c>
      <c r="F7" s="240" t="s">
        <v>101</v>
      </c>
      <c r="G7" s="249">
        <f>12+33</f>
        <v>45</v>
      </c>
      <c r="H7" s="240">
        <f>6+36+30</f>
        <v>72</v>
      </c>
      <c r="I7" s="91"/>
      <c r="M7" s="76"/>
      <c r="N7" s="142"/>
      <c r="O7" s="131"/>
      <c r="P7" s="128"/>
    </row>
    <row r="8" spans="1:17" ht="12.75" customHeight="1">
      <c r="A8" s="68">
        <v>3</v>
      </c>
      <c r="B8" s="69" t="s">
        <v>7</v>
      </c>
      <c r="C8" s="70" t="s">
        <v>10</v>
      </c>
      <c r="D8" s="72"/>
      <c r="E8" s="243"/>
      <c r="F8" s="243"/>
      <c r="G8" s="243"/>
      <c r="H8" s="243"/>
      <c r="I8" s="73"/>
      <c r="M8" s="76"/>
      <c r="N8" s="124"/>
      <c r="O8" s="131"/>
      <c r="P8" s="128"/>
    </row>
    <row r="9" spans="1:17" ht="12.75" customHeight="1">
      <c r="A9" s="283"/>
      <c r="B9" s="186"/>
      <c r="C9" s="284"/>
      <c r="D9" s="148" t="s">
        <v>306</v>
      </c>
      <c r="E9" s="240">
        <f>18+18</f>
        <v>36</v>
      </c>
      <c r="F9" s="240" t="s">
        <v>107</v>
      </c>
      <c r="G9" s="249"/>
      <c r="H9" s="249"/>
      <c r="I9" s="10"/>
      <c r="M9" s="76"/>
      <c r="N9" s="124"/>
      <c r="O9" s="131"/>
      <c r="P9" s="128"/>
    </row>
    <row r="10" spans="1:17" ht="12.75" customHeight="1">
      <c r="A10" s="22">
        <v>4</v>
      </c>
      <c r="B10" s="23" t="s">
        <v>7</v>
      </c>
      <c r="C10" s="34" t="s">
        <v>12</v>
      </c>
      <c r="D10" s="41"/>
      <c r="E10" s="235"/>
      <c r="F10" s="235"/>
      <c r="G10" s="235"/>
      <c r="H10" s="235"/>
      <c r="I10" s="97"/>
      <c r="M10" s="75"/>
    </row>
    <row r="11" spans="1:17">
      <c r="A11" s="283"/>
      <c r="B11" s="186"/>
      <c r="C11" s="5"/>
      <c r="D11" s="148" t="s">
        <v>212</v>
      </c>
      <c r="E11" s="240">
        <f>10</f>
        <v>10</v>
      </c>
      <c r="F11" s="240" t="s">
        <v>101</v>
      </c>
      <c r="G11" s="249">
        <v>16</v>
      </c>
      <c r="H11" s="249"/>
      <c r="I11" s="93"/>
      <c r="M11" s="75"/>
    </row>
    <row r="12" spans="1:17" ht="12.75" customHeight="1">
      <c r="A12" s="22">
        <v>5</v>
      </c>
      <c r="B12" s="23" t="s">
        <v>7</v>
      </c>
      <c r="C12" s="34" t="s">
        <v>13</v>
      </c>
      <c r="D12" s="43"/>
      <c r="E12" s="235"/>
      <c r="F12" s="235"/>
      <c r="G12" s="235"/>
      <c r="H12" s="235"/>
      <c r="I12" s="31"/>
      <c r="M12" s="143"/>
      <c r="N12" s="131"/>
      <c r="O12" s="124"/>
      <c r="P12" s="146"/>
      <c r="Q12" s="144"/>
    </row>
    <row r="13" spans="1:17" ht="36.75">
      <c r="A13" s="283"/>
      <c r="B13" s="186"/>
      <c r="C13" s="189"/>
      <c r="D13" s="256" t="s">
        <v>309</v>
      </c>
      <c r="E13" s="303">
        <v>209</v>
      </c>
      <c r="F13" s="303" t="s">
        <v>101</v>
      </c>
      <c r="G13" s="302">
        <f>4+6+10+6+37+7+8.5+13+20.5+16+10.5+15+20+18.5+16+8.5+6+8</f>
        <v>230.5</v>
      </c>
      <c r="H13" s="302"/>
      <c r="I13" s="91" t="s">
        <v>147</v>
      </c>
      <c r="J13" s="137"/>
      <c r="M13" s="143"/>
      <c r="O13" s="144"/>
      <c r="P13" s="145"/>
    </row>
    <row r="14" spans="1:17" ht="12.75" customHeight="1">
      <c r="A14" s="22">
        <v>6</v>
      </c>
      <c r="B14" s="23" t="s">
        <v>7</v>
      </c>
      <c r="C14" s="34" t="s">
        <v>14</v>
      </c>
      <c r="D14" s="44"/>
      <c r="E14" s="236"/>
      <c r="F14" s="236"/>
      <c r="G14" s="236"/>
      <c r="H14" s="236"/>
      <c r="I14" s="39"/>
    </row>
    <row r="15" spans="1:17" ht="14.25" customHeight="1">
      <c r="A15" s="283"/>
      <c r="B15" s="186"/>
      <c r="C15" s="5"/>
      <c r="D15" s="256" t="s">
        <v>102</v>
      </c>
      <c r="E15" s="229">
        <f>14+30+45</f>
        <v>89</v>
      </c>
      <c r="F15" s="229" t="s">
        <v>101</v>
      </c>
      <c r="G15" s="247">
        <f>14+30+45</f>
        <v>89</v>
      </c>
      <c r="H15" s="247"/>
      <c r="I15" s="66"/>
      <c r="J15" s="136"/>
    </row>
    <row r="16" spans="1:17" ht="12.75" customHeight="1">
      <c r="A16" s="22">
        <v>7</v>
      </c>
      <c r="B16" s="23" t="s">
        <v>7</v>
      </c>
      <c r="C16" s="34" t="s">
        <v>15</v>
      </c>
      <c r="D16" s="43"/>
      <c r="E16" s="235"/>
      <c r="F16" s="235"/>
      <c r="G16" s="235"/>
      <c r="H16" s="235"/>
      <c r="I16" s="40"/>
    </row>
    <row r="17" spans="1:12" ht="12.75" customHeight="1">
      <c r="A17" s="283"/>
      <c r="B17" s="186"/>
      <c r="C17" s="5"/>
      <c r="D17" s="19" t="s">
        <v>86</v>
      </c>
      <c r="E17" s="233">
        <v>12</v>
      </c>
      <c r="F17" s="233" t="s">
        <v>101</v>
      </c>
      <c r="G17" s="234">
        <v>12</v>
      </c>
      <c r="H17" s="234"/>
      <c r="I17" s="16"/>
      <c r="J17" s="136"/>
    </row>
    <row r="18" spans="1:12" ht="12.75" customHeight="1">
      <c r="A18" s="22">
        <v>8</v>
      </c>
      <c r="B18" s="23" t="s">
        <v>7</v>
      </c>
      <c r="C18" s="34" t="s">
        <v>16</v>
      </c>
      <c r="D18" s="43"/>
      <c r="E18" s="235"/>
      <c r="F18" s="235"/>
      <c r="G18" s="235"/>
      <c r="H18" s="235"/>
      <c r="I18" s="39"/>
    </row>
    <row r="19" spans="1:12">
      <c r="A19" s="283"/>
      <c r="B19" s="186"/>
      <c r="C19" s="189"/>
      <c r="D19" s="147" t="s">
        <v>270</v>
      </c>
      <c r="E19" s="229">
        <f>20+11+4</f>
        <v>35</v>
      </c>
      <c r="F19" s="229" t="s">
        <v>101</v>
      </c>
      <c r="G19" s="247">
        <f>14+9+7</f>
        <v>30</v>
      </c>
      <c r="H19" s="247"/>
      <c r="I19" s="91"/>
      <c r="J19" s="136"/>
    </row>
    <row r="20" spans="1:12" ht="12.75" customHeight="1">
      <c r="A20" s="21">
        <v>9</v>
      </c>
      <c r="B20" s="35" t="s">
        <v>7</v>
      </c>
      <c r="C20" s="36" t="s">
        <v>17</v>
      </c>
      <c r="D20" s="48"/>
      <c r="E20" s="237"/>
      <c r="F20" s="237"/>
      <c r="G20" s="237"/>
      <c r="H20" s="237"/>
      <c r="I20" s="39"/>
    </row>
    <row r="21" spans="1:12">
      <c r="A21" s="59"/>
      <c r="B21" s="186"/>
      <c r="C21" s="191"/>
      <c r="D21" s="147" t="s">
        <v>300</v>
      </c>
      <c r="E21" s="229">
        <f>39</f>
        <v>39</v>
      </c>
      <c r="F21" s="229" t="s">
        <v>101</v>
      </c>
      <c r="G21" s="247">
        <f>59</f>
        <v>59</v>
      </c>
      <c r="H21" s="247"/>
      <c r="I21" s="283"/>
      <c r="J21" s="136"/>
    </row>
    <row r="22" spans="1:12" ht="12.75" customHeight="1">
      <c r="A22" s="49">
        <v>10</v>
      </c>
      <c r="B22" s="50" t="s">
        <v>18</v>
      </c>
      <c r="C22" s="34" t="s">
        <v>19</v>
      </c>
      <c r="D22" s="51"/>
      <c r="E22" s="238"/>
      <c r="F22" s="238"/>
      <c r="G22" s="238"/>
      <c r="H22" s="238"/>
      <c r="I22" s="39"/>
    </row>
    <row r="23" spans="1:12" ht="15" customHeight="1">
      <c r="A23" s="8"/>
      <c r="B23" s="186"/>
      <c r="C23" s="5"/>
      <c r="D23" s="148" t="s">
        <v>302</v>
      </c>
      <c r="E23" s="240">
        <f>6+18+10</f>
        <v>34</v>
      </c>
      <c r="F23" s="240" t="s">
        <v>107</v>
      </c>
      <c r="G23" s="249"/>
      <c r="H23" s="249"/>
      <c r="I23" s="89"/>
      <c r="J23" s="209"/>
      <c r="K23" s="210"/>
      <c r="L23" s="211"/>
    </row>
    <row r="24" spans="1:12" ht="12.75" customHeight="1">
      <c r="A24" s="22">
        <v>11</v>
      </c>
      <c r="B24" s="23" t="s">
        <v>18</v>
      </c>
      <c r="C24" s="24" t="s">
        <v>20</v>
      </c>
      <c r="D24" s="53"/>
      <c r="E24" s="239"/>
      <c r="F24" s="239"/>
      <c r="G24" s="239"/>
      <c r="H24" s="239"/>
      <c r="I24" s="52"/>
    </row>
    <row r="25" spans="1:12">
      <c r="A25" s="283"/>
      <c r="B25" s="186"/>
      <c r="C25" s="17"/>
      <c r="D25" s="148" t="s">
        <v>310</v>
      </c>
      <c r="E25" s="240">
        <f>61</f>
        <v>61</v>
      </c>
      <c r="F25" s="249" t="s">
        <v>101</v>
      </c>
      <c r="G25" s="249">
        <f>60.5+6.5</f>
        <v>67</v>
      </c>
      <c r="H25" s="240">
        <v>24</v>
      </c>
      <c r="I25" s="91"/>
    </row>
    <row r="26" spans="1:12" ht="12.75" customHeight="1">
      <c r="A26" s="22">
        <v>12</v>
      </c>
      <c r="B26" s="23" t="s">
        <v>21</v>
      </c>
      <c r="C26" s="24">
        <v>9</v>
      </c>
      <c r="D26" s="54"/>
      <c r="E26" s="239"/>
      <c r="F26" s="239"/>
      <c r="G26" s="239"/>
      <c r="H26" s="239"/>
      <c r="I26" s="39"/>
    </row>
    <row r="27" spans="1:12">
      <c r="A27" s="29"/>
      <c r="B27" s="186"/>
      <c r="C27" s="197"/>
      <c r="D27" s="148" t="s">
        <v>268</v>
      </c>
      <c r="E27" s="240">
        <f>46+20+20</f>
        <v>86</v>
      </c>
      <c r="F27" s="240" t="s">
        <v>101</v>
      </c>
      <c r="G27" s="249">
        <v>132</v>
      </c>
      <c r="H27" s="249"/>
      <c r="I27" s="91"/>
    </row>
    <row r="28" spans="1:12" ht="12.75" customHeight="1">
      <c r="A28" s="22">
        <v>13</v>
      </c>
      <c r="B28" s="23" t="s">
        <v>21</v>
      </c>
      <c r="C28" s="24" t="s">
        <v>22</v>
      </c>
      <c r="D28" s="54"/>
      <c r="E28" s="239"/>
      <c r="F28" s="239"/>
      <c r="G28" s="239"/>
      <c r="H28" s="239"/>
      <c r="I28" s="39"/>
    </row>
    <row r="29" spans="1:12" ht="24">
      <c r="A29" s="283"/>
      <c r="B29" s="186"/>
      <c r="C29" s="284"/>
      <c r="D29" s="148" t="s">
        <v>289</v>
      </c>
      <c r="E29" s="240">
        <f>18+43+39</f>
        <v>100</v>
      </c>
      <c r="F29" s="240" t="s">
        <v>101</v>
      </c>
      <c r="G29" s="249">
        <v>180.5</v>
      </c>
      <c r="H29" s="240">
        <v>17</v>
      </c>
      <c r="I29" s="91" t="s">
        <v>144</v>
      </c>
    </row>
    <row r="30" spans="1:12" ht="12.75" customHeight="1">
      <c r="A30" s="22">
        <v>14</v>
      </c>
      <c r="B30" s="23" t="s">
        <v>21</v>
      </c>
      <c r="C30" s="24" t="s">
        <v>23</v>
      </c>
      <c r="D30" s="54"/>
      <c r="E30" s="239"/>
      <c r="F30" s="239"/>
      <c r="G30" s="239"/>
      <c r="H30" s="239"/>
      <c r="I30" s="39"/>
    </row>
    <row r="31" spans="1:12" ht="25.5" customHeight="1">
      <c r="A31" s="283"/>
      <c r="B31" s="186"/>
      <c r="C31" s="17"/>
      <c r="D31" s="148" t="s">
        <v>264</v>
      </c>
      <c r="E31" s="240">
        <f>24+16+22+18.3+8.2+8.2+32</f>
        <v>128.69999999999999</v>
      </c>
      <c r="F31" s="240" t="s">
        <v>101</v>
      </c>
      <c r="G31" s="296">
        <f>1.5+3.2+30+13.6+3.2+3+6.5+26+22+26+10+9+7.2+7</f>
        <v>168.2</v>
      </c>
      <c r="H31" s="296"/>
      <c r="I31" s="330" t="s">
        <v>84</v>
      </c>
      <c r="J31" s="331"/>
    </row>
    <row r="32" spans="1:12" ht="12.75" customHeight="1">
      <c r="A32" s="22">
        <v>15</v>
      </c>
      <c r="B32" s="23" t="s">
        <v>21</v>
      </c>
      <c r="C32" s="24" t="s">
        <v>19</v>
      </c>
      <c r="D32" s="54"/>
      <c r="E32" s="239"/>
      <c r="F32" s="239"/>
      <c r="G32" s="239"/>
      <c r="H32" s="239"/>
      <c r="I32" s="39"/>
    </row>
    <row r="33" spans="1:12" ht="15" customHeight="1">
      <c r="A33" s="29"/>
      <c r="B33" s="186"/>
      <c r="C33" s="30"/>
      <c r="D33" s="148" t="s">
        <v>291</v>
      </c>
      <c r="E33" s="240">
        <v>11</v>
      </c>
      <c r="F33" s="240" t="s">
        <v>107</v>
      </c>
      <c r="G33" s="249">
        <v>12.5</v>
      </c>
      <c r="H33" s="240">
        <v>12</v>
      </c>
      <c r="I33" s="91"/>
      <c r="J33" s="326"/>
      <c r="K33" s="327"/>
      <c r="L33" s="327"/>
    </row>
    <row r="34" spans="1:12" ht="12.75" customHeight="1">
      <c r="A34" s="22">
        <v>16</v>
      </c>
      <c r="B34" s="23" t="s">
        <v>21</v>
      </c>
      <c r="C34" s="24" t="s">
        <v>24</v>
      </c>
      <c r="D34" s="54"/>
      <c r="E34" s="239"/>
      <c r="F34" s="239"/>
      <c r="G34" s="239"/>
      <c r="H34" s="239"/>
      <c r="I34" s="39"/>
    </row>
    <row r="35" spans="1:12">
      <c r="A35" s="283"/>
      <c r="B35" s="33"/>
      <c r="C35" s="284"/>
      <c r="D35" s="148" t="s">
        <v>319</v>
      </c>
      <c r="E35" s="240">
        <v>7</v>
      </c>
      <c r="F35" s="240" t="s">
        <v>107</v>
      </c>
      <c r="G35" s="249">
        <f>6+15.5</f>
        <v>21.5</v>
      </c>
      <c r="H35" s="240">
        <f>12+11</f>
        <v>23</v>
      </c>
      <c r="I35" s="91"/>
    </row>
    <row r="36" spans="1:12" ht="12.75" customHeight="1">
      <c r="A36" s="22">
        <v>17</v>
      </c>
      <c r="B36" s="23" t="s">
        <v>21</v>
      </c>
      <c r="C36" s="24" t="s">
        <v>25</v>
      </c>
      <c r="D36" s="54"/>
      <c r="E36" s="239"/>
      <c r="F36" s="239"/>
      <c r="G36" s="239"/>
      <c r="H36" s="239"/>
      <c r="I36" s="39"/>
    </row>
    <row r="37" spans="1:12">
      <c r="A37" s="283"/>
      <c r="B37" s="33"/>
      <c r="C37" s="284"/>
      <c r="D37" s="148" t="s">
        <v>212</v>
      </c>
      <c r="E37" s="240">
        <v>33</v>
      </c>
      <c r="F37" s="240" t="s">
        <v>101</v>
      </c>
      <c r="G37" s="249">
        <v>31.5</v>
      </c>
      <c r="H37" s="249"/>
      <c r="I37" s="91"/>
    </row>
    <row r="38" spans="1:12" ht="12.75" customHeight="1">
      <c r="A38" s="22">
        <v>18</v>
      </c>
      <c r="B38" s="23" t="s">
        <v>21</v>
      </c>
      <c r="C38" s="24" t="s">
        <v>26</v>
      </c>
      <c r="D38" s="54"/>
      <c r="E38" s="239"/>
      <c r="F38" s="239"/>
      <c r="G38" s="239"/>
      <c r="H38" s="239"/>
      <c r="I38" s="39"/>
    </row>
    <row r="39" spans="1:12">
      <c r="A39" s="283"/>
      <c r="B39" s="186"/>
      <c r="C39" s="17"/>
      <c r="D39" s="148" t="s">
        <v>212</v>
      </c>
      <c r="E39" s="240">
        <f>8</f>
        <v>8</v>
      </c>
      <c r="F39" s="240" t="s">
        <v>107</v>
      </c>
      <c r="G39" s="249"/>
      <c r="H39" s="240">
        <v>5</v>
      </c>
      <c r="I39" s="91"/>
    </row>
    <row r="40" spans="1:12" ht="12.75" customHeight="1">
      <c r="A40" s="22">
        <v>19</v>
      </c>
      <c r="B40" s="23" t="s">
        <v>21</v>
      </c>
      <c r="C40" s="24" t="s">
        <v>27</v>
      </c>
      <c r="D40" s="55"/>
      <c r="E40" s="248"/>
      <c r="F40" s="248"/>
      <c r="G40" s="248"/>
      <c r="H40" s="248"/>
      <c r="I40" s="39"/>
    </row>
    <row r="41" spans="1:12" ht="36">
      <c r="A41" s="283"/>
      <c r="B41" s="186"/>
      <c r="C41" s="284"/>
      <c r="D41" s="148" t="s">
        <v>265</v>
      </c>
      <c r="E41" s="240">
        <f>4.8+40+3.2+21</f>
        <v>69</v>
      </c>
      <c r="F41" s="240" t="s">
        <v>101</v>
      </c>
      <c r="G41" s="249">
        <f>3.2+6.4+14.4+3.2+9+6.4+8+13+12+2+3.2+12.9+5.6+3.2</f>
        <v>102.5</v>
      </c>
      <c r="H41" s="249"/>
      <c r="I41" s="91"/>
    </row>
    <row r="42" spans="1:12" ht="12.75" customHeight="1">
      <c r="A42" s="22">
        <v>20</v>
      </c>
      <c r="B42" s="23" t="s">
        <v>28</v>
      </c>
      <c r="C42" s="24" t="s">
        <v>29</v>
      </c>
      <c r="D42" s="54"/>
      <c r="E42" s="239"/>
      <c r="F42" s="239"/>
      <c r="G42" s="239"/>
      <c r="H42" s="239"/>
      <c r="I42" s="39"/>
    </row>
    <row r="43" spans="1:12">
      <c r="A43" s="29"/>
      <c r="B43" s="186"/>
      <c r="C43" s="30"/>
      <c r="D43" s="147" t="s">
        <v>251</v>
      </c>
      <c r="E43" s="229">
        <v>6.4</v>
      </c>
      <c r="F43" s="229" t="s">
        <v>107</v>
      </c>
      <c r="G43" s="247"/>
      <c r="H43" s="247"/>
      <c r="I43" s="91"/>
      <c r="J43" s="136"/>
    </row>
    <row r="44" spans="1:12">
      <c r="A44" s="29"/>
      <c r="B44" s="186"/>
      <c r="C44" s="30"/>
      <c r="D44" s="294" t="s">
        <v>252</v>
      </c>
      <c r="E44" s="229"/>
      <c r="F44" s="229"/>
      <c r="G44" s="247"/>
      <c r="H44" s="247"/>
      <c r="I44" s="91"/>
      <c r="J44" s="136"/>
    </row>
    <row r="45" spans="1:12" ht="12.75" customHeight="1">
      <c r="A45" s="22">
        <v>21</v>
      </c>
      <c r="B45" s="23" t="s">
        <v>28</v>
      </c>
      <c r="C45" s="24" t="s">
        <v>24</v>
      </c>
      <c r="D45" s="41"/>
      <c r="E45" s="235"/>
      <c r="F45" s="235"/>
      <c r="G45" s="235"/>
      <c r="H45" s="235"/>
      <c r="I45" s="39"/>
    </row>
    <row r="46" spans="1:12" ht="30.75" customHeight="1">
      <c r="A46" s="283"/>
      <c r="B46" s="186"/>
      <c r="C46" s="17"/>
      <c r="D46" s="148" t="s">
        <v>292</v>
      </c>
      <c r="E46" s="240">
        <f>15+3+21.2+7.4+4+3.2+3+10</f>
        <v>66.800000000000011</v>
      </c>
      <c r="F46" s="240" t="s">
        <v>101</v>
      </c>
      <c r="G46" s="249">
        <f>15+3+21.2+7.4+4+3.2+3+10</f>
        <v>66.800000000000011</v>
      </c>
      <c r="H46" s="240">
        <f>13</f>
        <v>13</v>
      </c>
      <c r="I46" s="91"/>
      <c r="J46" s="95"/>
      <c r="K46" s="95"/>
    </row>
    <row r="47" spans="1:12" ht="12.75" customHeight="1">
      <c r="A47" s="22">
        <v>22</v>
      </c>
      <c r="B47" s="23" t="s">
        <v>28</v>
      </c>
      <c r="C47" s="24" t="s">
        <v>25</v>
      </c>
      <c r="D47" s="41"/>
      <c r="E47" s="235"/>
      <c r="F47" s="235"/>
      <c r="G47" s="235"/>
      <c r="H47" s="235"/>
      <c r="I47" s="22"/>
    </row>
    <row r="48" spans="1:12">
      <c r="A48" s="283"/>
      <c r="B48" s="186"/>
      <c r="C48" s="284"/>
      <c r="D48" s="148" t="s">
        <v>293</v>
      </c>
      <c r="E48" s="240">
        <f>18+24.5+9+13+11.1</f>
        <v>75.599999999999994</v>
      </c>
      <c r="F48" s="240" t="s">
        <v>101</v>
      </c>
      <c r="G48" s="249">
        <f>15.6+25+14.6+12.6</f>
        <v>67.8</v>
      </c>
      <c r="H48" s="240">
        <f>15.5+15.5</f>
        <v>31</v>
      </c>
      <c r="I48" s="91"/>
    </row>
    <row r="49" spans="1:16" ht="12.75" customHeight="1">
      <c r="A49" s="22">
        <v>23</v>
      </c>
      <c r="B49" s="23" t="s">
        <v>30</v>
      </c>
      <c r="C49" s="24" t="s">
        <v>31</v>
      </c>
      <c r="D49" s="41"/>
      <c r="E49" s="235"/>
      <c r="F49" s="235"/>
      <c r="G49" s="235"/>
      <c r="H49" s="235"/>
      <c r="I49" s="22"/>
    </row>
    <row r="50" spans="1:16" ht="27" customHeight="1">
      <c r="A50" s="283"/>
      <c r="B50" s="186"/>
      <c r="C50" s="284"/>
      <c r="D50" s="148" t="s">
        <v>266</v>
      </c>
      <c r="E50" s="240">
        <f>4+39</f>
        <v>43</v>
      </c>
      <c r="F50" s="240" t="s">
        <v>101</v>
      </c>
      <c r="G50" s="249">
        <f>10+6+15+26</f>
        <v>57</v>
      </c>
      <c r="H50" s="249"/>
      <c r="I50" s="91"/>
    </row>
    <row r="51" spans="1:16" ht="12.75" customHeight="1">
      <c r="A51" s="22">
        <v>24</v>
      </c>
      <c r="B51" s="31" t="s">
        <v>30</v>
      </c>
      <c r="C51" s="24" t="s">
        <v>32</v>
      </c>
      <c r="D51" s="56"/>
      <c r="E51" s="236"/>
      <c r="F51" s="236"/>
      <c r="G51" s="236"/>
      <c r="H51" s="236"/>
      <c r="I51" s="22"/>
    </row>
    <row r="52" spans="1:16" ht="24">
      <c r="A52" s="283"/>
      <c r="B52" s="186"/>
      <c r="C52" s="284"/>
      <c r="D52" s="148" t="s">
        <v>267</v>
      </c>
      <c r="E52" s="240">
        <f>4+16+11+6+11+4+31+48</f>
        <v>131</v>
      </c>
      <c r="F52" s="240" t="s">
        <v>101</v>
      </c>
      <c r="G52" s="249">
        <f>15+9+12+4+27+40</f>
        <v>107</v>
      </c>
      <c r="H52" s="249"/>
      <c r="I52" s="91"/>
    </row>
    <row r="53" spans="1:16" ht="12.75" customHeight="1">
      <c r="A53" s="22">
        <v>25</v>
      </c>
      <c r="B53" s="31" t="s">
        <v>30</v>
      </c>
      <c r="C53" s="24" t="s">
        <v>33</v>
      </c>
      <c r="D53" s="56"/>
      <c r="E53" s="236"/>
      <c r="F53" s="236"/>
      <c r="G53" s="236"/>
      <c r="H53" s="236"/>
      <c r="I53" s="22"/>
    </row>
    <row r="54" spans="1:16" s="107" customFormat="1">
      <c r="A54" s="222"/>
      <c r="B54" s="212"/>
      <c r="C54" s="223"/>
      <c r="D54" s="148" t="s">
        <v>258</v>
      </c>
      <c r="E54" s="240">
        <v>56</v>
      </c>
      <c r="F54" s="240" t="s">
        <v>101</v>
      </c>
      <c r="G54" s="249">
        <f>87</f>
        <v>87</v>
      </c>
      <c r="H54" s="249">
        <v>7</v>
      </c>
      <c r="I54" s="93"/>
      <c r="P54" s="129"/>
    </row>
    <row r="55" spans="1:16" ht="12.75" customHeight="1">
      <c r="A55" s="22">
        <v>26</v>
      </c>
      <c r="B55" s="31" t="s">
        <v>30</v>
      </c>
      <c r="C55" s="24" t="s">
        <v>34</v>
      </c>
      <c r="D55" s="56"/>
      <c r="E55" s="236"/>
      <c r="F55" s="236"/>
      <c r="G55" s="236"/>
      <c r="H55" s="236"/>
      <c r="I55" s="22"/>
    </row>
    <row r="56" spans="1:16">
      <c r="A56" s="283"/>
      <c r="B56" s="186"/>
      <c r="C56" s="284"/>
      <c r="D56" s="148" t="s">
        <v>269</v>
      </c>
      <c r="E56" s="240">
        <f>4+39</f>
        <v>43</v>
      </c>
      <c r="F56" s="240"/>
      <c r="G56" s="249">
        <f>8+115</f>
        <v>123</v>
      </c>
      <c r="H56" s="249"/>
      <c r="I56" s="91"/>
    </row>
    <row r="57" spans="1:16" ht="12.75" customHeight="1">
      <c r="A57" s="22">
        <v>27</v>
      </c>
      <c r="B57" s="31" t="s">
        <v>30</v>
      </c>
      <c r="C57" s="24" t="s">
        <v>35</v>
      </c>
      <c r="D57" s="56"/>
      <c r="E57" s="236"/>
      <c r="F57" s="236"/>
      <c r="G57" s="236"/>
      <c r="H57" s="236"/>
      <c r="I57" s="22"/>
    </row>
    <row r="58" spans="1:16">
      <c r="A58" s="283"/>
      <c r="B58" s="186"/>
      <c r="C58" s="284"/>
      <c r="D58" s="148" t="s">
        <v>281</v>
      </c>
      <c r="E58" s="240">
        <f>5+6</f>
        <v>11</v>
      </c>
      <c r="F58" s="240" t="s">
        <v>101</v>
      </c>
      <c r="G58" s="249">
        <f>4.2</f>
        <v>4.2</v>
      </c>
      <c r="H58" s="249"/>
      <c r="I58" s="91"/>
    </row>
    <row r="59" spans="1:16" ht="12.75" customHeight="1">
      <c r="A59" s="22">
        <v>28</v>
      </c>
      <c r="B59" s="31" t="s">
        <v>30</v>
      </c>
      <c r="C59" s="24" t="s">
        <v>36</v>
      </c>
      <c r="D59" s="56"/>
      <c r="E59" s="236"/>
      <c r="F59" s="236"/>
      <c r="G59" s="236"/>
      <c r="H59" s="236"/>
      <c r="I59" s="22"/>
    </row>
    <row r="60" spans="1:16">
      <c r="A60" s="283"/>
      <c r="B60" s="186"/>
      <c r="C60" s="284"/>
      <c r="D60" s="148" t="s">
        <v>273</v>
      </c>
      <c r="E60" s="240">
        <f>18+28+9+14</f>
        <v>69</v>
      </c>
      <c r="F60" s="240" t="s">
        <v>101</v>
      </c>
      <c r="G60" s="249">
        <f>106+18.5</f>
        <v>124.5</v>
      </c>
      <c r="H60" s="249"/>
      <c r="I60" s="91"/>
      <c r="J60" s="94"/>
      <c r="K60" s="94"/>
    </row>
    <row r="61" spans="1:16" ht="12.75" customHeight="1">
      <c r="A61" s="174"/>
      <c r="B61" s="175"/>
      <c r="C61" s="176"/>
      <c r="D61" s="179" t="s">
        <v>164</v>
      </c>
      <c r="E61" s="335">
        <f>E5+E7+E13+E15+E17+E19+E25+E27+E29+E31+E41+E46+E48+E52+E54+E58+E56+E60+E23</f>
        <v>1399.6</v>
      </c>
      <c r="F61" s="336"/>
      <c r="G61" s="295">
        <f>SUM(G5:G60)</f>
        <v>1930.5</v>
      </c>
      <c r="H61" s="295"/>
      <c r="I61" s="177"/>
    </row>
    <row r="62" spans="1:16" ht="12.75" customHeight="1"/>
    <row r="63" spans="1:16" ht="12.75" customHeight="1"/>
    <row r="64" spans="1:1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</sheetData>
  <mergeCells count="11">
    <mergeCell ref="I31:J31"/>
    <mergeCell ref="J33:L33"/>
    <mergeCell ref="E61:F61"/>
    <mergeCell ref="E1:I1"/>
    <mergeCell ref="A2:A3"/>
    <mergeCell ref="B2:B3"/>
    <mergeCell ref="C2:C3"/>
    <mergeCell ref="D2:F2"/>
    <mergeCell ref="I2:I3"/>
    <mergeCell ref="G2:G3"/>
    <mergeCell ref="H2:H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65"/>
  <sheetViews>
    <sheetView view="pageBreakPreview" topLeftCell="A90" zoomScale="130" zoomScaleNormal="100" zoomScaleSheetLayoutView="130" workbookViewId="0">
      <selection activeCell="A70" sqref="A70:XFD70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21.140625" customWidth="1"/>
    <col min="8" max="8" width="12.7109375" bestFit="1" customWidth="1"/>
    <col min="9" max="9" width="11.140625" customWidth="1"/>
    <col min="11" max="11" width="9.28515625" bestFit="1" customWidth="1"/>
    <col min="12" max="12" width="18.7109375" customWidth="1"/>
    <col min="13" max="13" width="28.5703125" customWidth="1"/>
    <col min="14" max="14" width="10" style="76" bestFit="1" customWidth="1"/>
    <col min="15" max="15" width="29.42578125" customWidth="1"/>
    <col min="16" max="16" width="9.28515625" bestFit="1" customWidth="1"/>
  </cols>
  <sheetData>
    <row r="1" spans="1:15">
      <c r="A1" s="171"/>
      <c r="B1" s="170"/>
      <c r="C1" s="109"/>
      <c r="D1" s="1"/>
      <c r="E1" s="332" t="s">
        <v>229</v>
      </c>
      <c r="F1" s="332"/>
      <c r="G1" s="332"/>
    </row>
    <row r="2" spans="1:15" ht="15" customHeight="1">
      <c r="A2" s="321" t="s">
        <v>0</v>
      </c>
      <c r="B2" s="321" t="s">
        <v>1</v>
      </c>
      <c r="C2" s="322" t="s">
        <v>2</v>
      </c>
      <c r="D2" s="325" t="s">
        <v>62</v>
      </c>
      <c r="E2" s="325"/>
      <c r="F2" s="325"/>
      <c r="G2" s="333" t="s">
        <v>5</v>
      </c>
    </row>
    <row r="3" spans="1:15" ht="24.75">
      <c r="A3" s="321"/>
      <c r="B3" s="321"/>
      <c r="C3" s="322"/>
      <c r="D3" s="281" t="s">
        <v>61</v>
      </c>
      <c r="E3" s="8" t="s">
        <v>91</v>
      </c>
      <c r="F3" s="8" t="s">
        <v>95</v>
      </c>
      <c r="G3" s="334"/>
    </row>
    <row r="4" spans="1:15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21"/>
    </row>
    <row r="5" spans="1:15" ht="24">
      <c r="A5" s="32"/>
      <c r="B5" s="186"/>
      <c r="C5" s="187"/>
      <c r="D5" s="148" t="s">
        <v>226</v>
      </c>
      <c r="E5" s="240">
        <f>23+14+10+35.5</f>
        <v>82.5</v>
      </c>
      <c r="F5" s="240" t="s">
        <v>101</v>
      </c>
      <c r="G5" s="89" t="s">
        <v>99</v>
      </c>
      <c r="H5" s="180"/>
      <c r="I5" s="180"/>
      <c r="L5" s="107"/>
      <c r="M5" s="75"/>
    </row>
    <row r="6" spans="1:15" ht="12.75" customHeight="1">
      <c r="A6" s="22">
        <v>2</v>
      </c>
      <c r="B6" s="23" t="s">
        <v>7</v>
      </c>
      <c r="C6" s="24">
        <v>4</v>
      </c>
      <c r="D6" s="38"/>
      <c r="E6" s="237"/>
      <c r="F6" s="237"/>
      <c r="G6" s="39"/>
      <c r="K6" s="76"/>
      <c r="L6" s="142"/>
      <c r="M6" s="132"/>
      <c r="N6" s="128"/>
    </row>
    <row r="7" spans="1:15">
      <c r="A7" s="281"/>
      <c r="B7" s="186"/>
      <c r="C7" s="282"/>
      <c r="D7" s="148" t="s">
        <v>227</v>
      </c>
      <c r="E7" s="240">
        <f>15+26</f>
        <v>41</v>
      </c>
      <c r="F7" s="240" t="s">
        <v>101</v>
      </c>
      <c r="G7" s="91"/>
      <c r="K7" s="76"/>
      <c r="L7" s="142"/>
      <c r="M7" s="131"/>
      <c r="N7" s="128"/>
    </row>
    <row r="8" spans="1:15">
      <c r="A8" s="281"/>
      <c r="B8" s="186"/>
      <c r="C8" s="282"/>
      <c r="D8" s="148" t="s">
        <v>118</v>
      </c>
      <c r="E8" s="240"/>
      <c r="F8" s="240"/>
      <c r="G8" s="91"/>
      <c r="K8" s="76"/>
      <c r="L8" s="142"/>
      <c r="M8" s="131"/>
      <c r="N8" s="128"/>
    </row>
    <row r="9" spans="1:15">
      <c r="A9" s="281"/>
      <c r="B9" s="186"/>
      <c r="C9" s="282"/>
      <c r="D9" s="148" t="s">
        <v>152</v>
      </c>
      <c r="E9" s="240">
        <v>2</v>
      </c>
      <c r="F9" s="240" t="s">
        <v>97</v>
      </c>
      <c r="G9" s="91"/>
      <c r="K9" s="76"/>
      <c r="L9" s="142"/>
      <c r="M9" s="131"/>
      <c r="N9" s="128"/>
    </row>
    <row r="10" spans="1:15" s="107" customFormat="1">
      <c r="A10" s="222"/>
      <c r="B10" s="212"/>
      <c r="C10" s="223"/>
      <c r="D10" s="148" t="s">
        <v>208</v>
      </c>
      <c r="E10" s="240">
        <v>2</v>
      </c>
      <c r="F10" s="240" t="s">
        <v>97</v>
      </c>
      <c r="G10" s="93"/>
      <c r="K10" s="129"/>
      <c r="L10" s="142"/>
      <c r="M10" s="224"/>
      <c r="N10" s="225"/>
    </row>
    <row r="11" spans="1:15" ht="12.75" customHeight="1">
      <c r="A11" s="68">
        <v>3</v>
      </c>
      <c r="B11" s="69" t="s">
        <v>7</v>
      </c>
      <c r="C11" s="70" t="s">
        <v>10</v>
      </c>
      <c r="D11" s="72"/>
      <c r="E11" s="243"/>
      <c r="F11" s="243"/>
      <c r="G11" s="73"/>
      <c r="K11" s="76"/>
      <c r="L11" s="124"/>
      <c r="M11" s="131"/>
      <c r="N11" s="128"/>
    </row>
    <row r="12" spans="1:15" ht="12.75" customHeight="1">
      <c r="A12" s="281"/>
      <c r="B12" s="186"/>
      <c r="C12" s="282"/>
      <c r="D12" s="148" t="s">
        <v>77</v>
      </c>
      <c r="E12" s="240"/>
      <c r="F12" s="240"/>
      <c r="G12" s="10"/>
      <c r="K12" s="76"/>
      <c r="L12" s="124"/>
      <c r="M12" s="131"/>
      <c r="N12" s="128"/>
    </row>
    <row r="13" spans="1:15" ht="12.75" customHeight="1">
      <c r="A13" s="22">
        <v>4</v>
      </c>
      <c r="B13" s="23" t="s">
        <v>7</v>
      </c>
      <c r="C13" s="34" t="s">
        <v>12</v>
      </c>
      <c r="D13" s="41"/>
      <c r="E13" s="235"/>
      <c r="F13" s="235"/>
      <c r="G13" s="97"/>
      <c r="K13" s="75"/>
    </row>
    <row r="14" spans="1:15">
      <c r="A14" s="281"/>
      <c r="B14" s="186"/>
      <c r="C14" s="5"/>
      <c r="D14" s="148" t="s">
        <v>212</v>
      </c>
      <c r="E14" s="240">
        <f>10</f>
        <v>10</v>
      </c>
      <c r="F14" s="240" t="s">
        <v>101</v>
      </c>
      <c r="G14" s="93"/>
      <c r="K14" s="75"/>
    </row>
    <row r="15" spans="1:15" ht="12.75" customHeight="1">
      <c r="A15" s="22">
        <v>5</v>
      </c>
      <c r="B15" s="23" t="s">
        <v>7</v>
      </c>
      <c r="C15" s="34" t="s">
        <v>13</v>
      </c>
      <c r="D15" s="43"/>
      <c r="E15" s="235"/>
      <c r="F15" s="235"/>
      <c r="G15" s="31"/>
      <c r="K15" s="143"/>
      <c r="L15" s="131"/>
      <c r="M15" s="124"/>
      <c r="N15" s="146"/>
      <c r="O15" s="144"/>
    </row>
    <row r="16" spans="1:15" ht="36.75">
      <c r="A16" s="281"/>
      <c r="B16" s="186"/>
      <c r="C16" s="189"/>
      <c r="D16" s="147" t="s">
        <v>216</v>
      </c>
      <c r="E16" s="229">
        <f>3+43+8.5+8.5+12+13+25+12+10+7+20+16</f>
        <v>178</v>
      </c>
      <c r="F16" s="229" t="s">
        <v>101</v>
      </c>
      <c r="G16" s="91" t="s">
        <v>147</v>
      </c>
      <c r="H16" s="137"/>
      <c r="K16" s="143"/>
      <c r="M16" s="144"/>
      <c r="N16" s="145"/>
    </row>
    <row r="17" spans="1:14" ht="12.75" customHeight="1">
      <c r="A17" s="281"/>
      <c r="B17" s="186"/>
      <c r="C17" s="189"/>
      <c r="D17" s="147" t="s">
        <v>189</v>
      </c>
      <c r="E17" s="229">
        <v>3</v>
      </c>
      <c r="F17" s="229" t="s">
        <v>97</v>
      </c>
      <c r="G17" s="91" t="s">
        <v>230</v>
      </c>
      <c r="K17" s="143"/>
      <c r="M17" s="144"/>
      <c r="N17" s="145"/>
    </row>
    <row r="18" spans="1:14" ht="12.75" customHeight="1">
      <c r="A18" s="22">
        <v>6</v>
      </c>
      <c r="B18" s="23" t="s">
        <v>7</v>
      </c>
      <c r="C18" s="34" t="s">
        <v>14</v>
      </c>
      <c r="D18" s="44"/>
      <c r="E18" s="236"/>
      <c r="F18" s="236"/>
      <c r="G18" s="39"/>
    </row>
    <row r="19" spans="1:14" ht="27" customHeight="1">
      <c r="A19" s="281"/>
      <c r="B19" s="186"/>
      <c r="C19" s="5"/>
      <c r="D19" s="147" t="s">
        <v>217</v>
      </c>
      <c r="E19" s="229">
        <f>14+39+27+6</f>
        <v>86</v>
      </c>
      <c r="F19" s="229" t="s">
        <v>101</v>
      </c>
      <c r="G19" s="66"/>
      <c r="H19" s="136"/>
    </row>
    <row r="20" spans="1:14" ht="26.25" customHeight="1">
      <c r="A20" s="281"/>
      <c r="B20" s="186"/>
      <c r="C20" s="5"/>
      <c r="D20" s="147" t="s">
        <v>207</v>
      </c>
      <c r="E20" s="229">
        <v>3</v>
      </c>
      <c r="F20" s="229" t="s">
        <v>97</v>
      </c>
      <c r="G20" s="66"/>
    </row>
    <row r="21" spans="1:14" ht="12.75" customHeight="1">
      <c r="A21" s="22">
        <v>7</v>
      </c>
      <c r="B21" s="23" t="s">
        <v>7</v>
      </c>
      <c r="C21" s="34" t="s">
        <v>15</v>
      </c>
      <c r="D21" s="43"/>
      <c r="E21" s="235"/>
      <c r="F21" s="235"/>
      <c r="G21" s="40"/>
    </row>
    <row r="22" spans="1:14" ht="12.75" customHeight="1">
      <c r="A22" s="281"/>
      <c r="B22" s="186"/>
      <c r="C22" s="5"/>
      <c r="D22" s="126" t="s">
        <v>86</v>
      </c>
      <c r="E22" s="233">
        <v>12</v>
      </c>
      <c r="F22" s="233" t="s">
        <v>101</v>
      </c>
      <c r="G22" s="16"/>
      <c r="H22" s="136"/>
    </row>
    <row r="23" spans="1:14" ht="12.75" customHeight="1">
      <c r="A23" s="22">
        <v>8</v>
      </c>
      <c r="B23" s="23" t="s">
        <v>7</v>
      </c>
      <c r="C23" s="34" t="s">
        <v>16</v>
      </c>
      <c r="D23" s="43"/>
      <c r="E23" s="235"/>
      <c r="F23" s="235"/>
      <c r="G23" s="39"/>
    </row>
    <row r="24" spans="1:14">
      <c r="A24" s="281"/>
      <c r="B24" s="186"/>
      <c r="C24" s="189"/>
      <c r="D24" s="147" t="s">
        <v>222</v>
      </c>
      <c r="E24" s="229">
        <f>20+11+4</f>
        <v>35</v>
      </c>
      <c r="F24" s="229" t="s">
        <v>101</v>
      </c>
      <c r="G24" s="91"/>
      <c r="H24" s="136"/>
    </row>
    <row r="25" spans="1:14">
      <c r="A25" s="207"/>
      <c r="B25" s="33"/>
      <c r="C25" s="13"/>
      <c r="D25" s="126" t="s">
        <v>137</v>
      </c>
      <c r="E25" s="233">
        <v>1</v>
      </c>
      <c r="F25" s="233" t="s">
        <v>97</v>
      </c>
      <c r="G25" s="281"/>
    </row>
    <row r="26" spans="1:14" ht="12.75" customHeight="1">
      <c r="A26" s="21">
        <v>9</v>
      </c>
      <c r="B26" s="35" t="s">
        <v>7</v>
      </c>
      <c r="C26" s="36" t="s">
        <v>17</v>
      </c>
      <c r="D26" s="48"/>
      <c r="E26" s="237"/>
      <c r="F26" s="237"/>
      <c r="G26" s="39"/>
    </row>
    <row r="27" spans="1:14">
      <c r="A27" s="59"/>
      <c r="B27" s="186"/>
      <c r="C27" s="191"/>
      <c r="D27" s="147" t="s">
        <v>212</v>
      </c>
      <c r="E27" s="229">
        <f>39</f>
        <v>39</v>
      </c>
      <c r="F27" s="229" t="s">
        <v>101</v>
      </c>
      <c r="G27" s="281"/>
      <c r="H27" s="136"/>
    </row>
    <row r="28" spans="1:14" ht="12.75" customHeight="1">
      <c r="A28" s="49">
        <v>10</v>
      </c>
      <c r="B28" s="50" t="s">
        <v>18</v>
      </c>
      <c r="C28" s="34" t="s">
        <v>19</v>
      </c>
      <c r="D28" s="51"/>
      <c r="E28" s="238"/>
      <c r="F28" s="238"/>
      <c r="G28" s="39"/>
    </row>
    <row r="29" spans="1:14" ht="15" customHeight="1">
      <c r="A29" s="8"/>
      <c r="B29" s="186"/>
      <c r="C29" s="5"/>
      <c r="D29" s="148" t="s">
        <v>228</v>
      </c>
      <c r="E29" s="240">
        <f>6+18</f>
        <v>24</v>
      </c>
      <c r="F29" s="240" t="s">
        <v>107</v>
      </c>
      <c r="G29" s="89"/>
      <c r="H29" s="209"/>
      <c r="I29" s="210"/>
      <c r="J29" s="211"/>
    </row>
    <row r="30" spans="1:14" ht="12.75" customHeight="1">
      <c r="A30" s="22">
        <v>11</v>
      </c>
      <c r="B30" s="23" t="s">
        <v>18</v>
      </c>
      <c r="C30" s="24" t="s">
        <v>20</v>
      </c>
      <c r="D30" s="53"/>
      <c r="E30" s="239"/>
      <c r="F30" s="239"/>
      <c r="G30" s="52"/>
    </row>
    <row r="31" spans="1:14">
      <c r="A31" s="281"/>
      <c r="B31" s="186"/>
      <c r="C31" s="17"/>
      <c r="D31" s="148" t="s">
        <v>124</v>
      </c>
      <c r="E31" s="240">
        <f>28</f>
        <v>28</v>
      </c>
      <c r="F31" s="240" t="s">
        <v>101</v>
      </c>
      <c r="G31" s="91"/>
    </row>
    <row r="32" spans="1:14" ht="12.75" customHeight="1">
      <c r="A32" s="22">
        <v>12</v>
      </c>
      <c r="B32" s="23" t="s">
        <v>21</v>
      </c>
      <c r="C32" s="24">
        <v>9</v>
      </c>
      <c r="D32" s="54"/>
      <c r="E32" s="239"/>
      <c r="F32" s="239"/>
      <c r="G32" s="39"/>
    </row>
    <row r="33" spans="1:10">
      <c r="A33" s="29"/>
      <c r="B33" s="186"/>
      <c r="C33" s="197"/>
      <c r="D33" s="148" t="s">
        <v>223</v>
      </c>
      <c r="E33" s="240">
        <f>46+20+20</f>
        <v>86</v>
      </c>
      <c r="F33" s="240" t="s">
        <v>101</v>
      </c>
      <c r="G33" s="91"/>
    </row>
    <row r="34" spans="1:10" ht="12.75" customHeight="1">
      <c r="A34" s="22">
        <v>13</v>
      </c>
      <c r="B34" s="23" t="s">
        <v>21</v>
      </c>
      <c r="C34" s="24" t="s">
        <v>22</v>
      </c>
      <c r="D34" s="54"/>
      <c r="E34" s="239"/>
      <c r="F34" s="239"/>
      <c r="G34" s="39"/>
    </row>
    <row r="35" spans="1:10">
      <c r="A35" s="281"/>
      <c r="B35" s="186"/>
      <c r="C35" s="282"/>
      <c r="D35" s="148" t="s">
        <v>224</v>
      </c>
      <c r="E35" s="240">
        <f>18+43+39</f>
        <v>100</v>
      </c>
      <c r="F35" s="240" t="s">
        <v>101</v>
      </c>
      <c r="G35" s="91" t="s">
        <v>144</v>
      </c>
    </row>
    <row r="36" spans="1:10" ht="12.75" customHeight="1">
      <c r="A36" s="22">
        <v>14</v>
      </c>
      <c r="B36" s="23" t="s">
        <v>21</v>
      </c>
      <c r="C36" s="24" t="s">
        <v>23</v>
      </c>
      <c r="D36" s="54"/>
      <c r="E36" s="239"/>
      <c r="F36" s="239"/>
      <c r="G36" s="39"/>
    </row>
    <row r="37" spans="1:10" ht="25.5" customHeight="1">
      <c r="A37" s="281"/>
      <c r="B37" s="186"/>
      <c r="C37" s="17"/>
      <c r="D37" s="148" t="s">
        <v>218</v>
      </c>
      <c r="E37" s="240">
        <f>24+12+16+22+18.3+8.2+8.2+32</f>
        <v>140.69999999999999</v>
      </c>
      <c r="F37" s="240" t="s">
        <v>101</v>
      </c>
      <c r="G37" s="330" t="s">
        <v>84</v>
      </c>
      <c r="H37" s="331"/>
    </row>
    <row r="38" spans="1:10" ht="12.75" customHeight="1">
      <c r="A38" s="22">
        <v>15</v>
      </c>
      <c r="B38" s="23" t="s">
        <v>21</v>
      </c>
      <c r="C38" s="24" t="s">
        <v>19</v>
      </c>
      <c r="D38" s="54"/>
      <c r="E38" s="239"/>
      <c r="F38" s="239"/>
      <c r="G38" s="39"/>
    </row>
    <row r="39" spans="1:10" ht="15" customHeight="1">
      <c r="A39" s="29"/>
      <c r="B39" s="186"/>
      <c r="C39" s="30"/>
      <c r="D39" s="148" t="s">
        <v>225</v>
      </c>
      <c r="E39" s="240">
        <v>11</v>
      </c>
      <c r="F39" s="240" t="s">
        <v>107</v>
      </c>
      <c r="G39" s="91"/>
      <c r="H39" s="326"/>
      <c r="I39" s="327"/>
      <c r="J39" s="327"/>
    </row>
    <row r="40" spans="1:10" ht="12.75" customHeight="1">
      <c r="A40" s="22">
        <v>16</v>
      </c>
      <c r="B40" s="23" t="s">
        <v>21</v>
      </c>
      <c r="C40" s="24" t="s">
        <v>24</v>
      </c>
      <c r="D40" s="54"/>
      <c r="E40" s="239"/>
      <c r="F40" s="239"/>
      <c r="G40" s="39"/>
    </row>
    <row r="41" spans="1:10">
      <c r="A41" s="281"/>
      <c r="B41" s="186"/>
      <c r="C41" s="282"/>
      <c r="D41" s="172" t="s">
        <v>141</v>
      </c>
      <c r="E41" s="246">
        <v>1</v>
      </c>
      <c r="F41" s="246" t="s">
        <v>97</v>
      </c>
      <c r="G41" s="10"/>
    </row>
    <row r="42" spans="1:10">
      <c r="A42" s="281"/>
      <c r="B42" s="33"/>
      <c r="C42" s="282"/>
      <c r="D42" s="148" t="s">
        <v>212</v>
      </c>
      <c r="E42" s="240">
        <v>7</v>
      </c>
      <c r="F42" s="240" t="s">
        <v>107</v>
      </c>
      <c r="G42" s="91"/>
    </row>
    <row r="43" spans="1:10" ht="12.75" customHeight="1">
      <c r="A43" s="22">
        <v>17</v>
      </c>
      <c r="B43" s="23" t="s">
        <v>21</v>
      </c>
      <c r="C43" s="24" t="s">
        <v>25</v>
      </c>
      <c r="D43" s="54"/>
      <c r="E43" s="239"/>
      <c r="F43" s="239"/>
      <c r="G43" s="39"/>
    </row>
    <row r="44" spans="1:10">
      <c r="A44" s="281"/>
      <c r="B44" s="33"/>
      <c r="C44" s="282"/>
      <c r="D44" s="148" t="s">
        <v>212</v>
      </c>
      <c r="E44" s="240">
        <v>33</v>
      </c>
      <c r="F44" s="240" t="s">
        <v>101</v>
      </c>
      <c r="G44" s="91"/>
    </row>
    <row r="45" spans="1:10" ht="12.75" customHeight="1">
      <c r="A45" s="22">
        <v>18</v>
      </c>
      <c r="B45" s="23" t="s">
        <v>21</v>
      </c>
      <c r="C45" s="24" t="s">
        <v>26</v>
      </c>
      <c r="D45" s="54"/>
      <c r="E45" s="239"/>
      <c r="F45" s="239"/>
      <c r="G45" s="39"/>
    </row>
    <row r="46" spans="1:10">
      <c r="A46" s="281"/>
      <c r="B46" s="186"/>
      <c r="C46" s="17"/>
      <c r="D46" s="148" t="s">
        <v>212</v>
      </c>
      <c r="E46" s="240">
        <f>8</f>
        <v>8</v>
      </c>
      <c r="F46" s="240" t="s">
        <v>107</v>
      </c>
      <c r="G46" s="91"/>
    </row>
    <row r="47" spans="1:10" ht="12.75" customHeight="1">
      <c r="A47" s="22">
        <v>19</v>
      </c>
      <c r="B47" s="23" t="s">
        <v>21</v>
      </c>
      <c r="C47" s="24" t="s">
        <v>27</v>
      </c>
      <c r="D47" s="55"/>
      <c r="E47" s="248"/>
      <c r="F47" s="248"/>
      <c r="G47" s="39"/>
    </row>
    <row r="48" spans="1:10">
      <c r="A48" s="281"/>
      <c r="B48" s="186"/>
      <c r="C48" s="282"/>
      <c r="D48" s="148" t="s">
        <v>219</v>
      </c>
      <c r="E48" s="240">
        <f>4.8+40</f>
        <v>44.8</v>
      </c>
      <c r="F48" s="240" t="s">
        <v>101</v>
      </c>
      <c r="G48" s="91"/>
    </row>
    <row r="49" spans="1:14" ht="12.75" customHeight="1">
      <c r="A49" s="22">
        <v>20</v>
      </c>
      <c r="B49" s="23" t="s">
        <v>28</v>
      </c>
      <c r="C49" s="24" t="s">
        <v>29</v>
      </c>
      <c r="D49" s="54"/>
      <c r="E49" s="239"/>
      <c r="F49" s="239"/>
      <c r="G49" s="39"/>
    </row>
    <row r="50" spans="1:14">
      <c r="A50" s="29"/>
      <c r="B50" s="186"/>
      <c r="C50" s="30"/>
      <c r="D50" s="147" t="s">
        <v>77</v>
      </c>
      <c r="E50" s="229"/>
      <c r="F50" s="229"/>
      <c r="G50" s="91"/>
      <c r="H50" s="136"/>
    </row>
    <row r="51" spans="1:14" ht="12.75" customHeight="1">
      <c r="A51" s="22">
        <v>21</v>
      </c>
      <c r="B51" s="23" t="s">
        <v>28</v>
      </c>
      <c r="C51" s="24" t="s">
        <v>24</v>
      </c>
      <c r="D51" s="41"/>
      <c r="E51" s="235"/>
      <c r="F51" s="235"/>
      <c r="G51" s="39"/>
    </row>
    <row r="52" spans="1:14" ht="30.75" customHeight="1">
      <c r="A52" s="281"/>
      <c r="B52" s="186"/>
      <c r="C52" s="17"/>
      <c r="D52" s="148" t="s">
        <v>220</v>
      </c>
      <c r="E52" s="240">
        <f>15+20+26</f>
        <v>61</v>
      </c>
      <c r="F52" s="240" t="s">
        <v>101</v>
      </c>
      <c r="G52" s="91"/>
      <c r="H52" s="95"/>
      <c r="I52" s="95"/>
    </row>
    <row r="53" spans="1:14">
      <c r="A53" s="281"/>
      <c r="B53" s="186"/>
      <c r="C53" s="17"/>
      <c r="D53" s="148" t="s">
        <v>94</v>
      </c>
      <c r="E53" s="240">
        <v>1</v>
      </c>
      <c r="F53" s="240" t="s">
        <v>97</v>
      </c>
      <c r="G53" s="91"/>
      <c r="H53" s="95"/>
      <c r="I53" s="95"/>
    </row>
    <row r="54" spans="1:14" ht="12.75" customHeight="1">
      <c r="A54" s="22">
        <v>22</v>
      </c>
      <c r="B54" s="23" t="s">
        <v>28</v>
      </c>
      <c r="C54" s="24" t="s">
        <v>25</v>
      </c>
      <c r="D54" s="41"/>
      <c r="E54" s="235"/>
      <c r="F54" s="235"/>
      <c r="G54" s="22"/>
    </row>
    <row r="55" spans="1:14">
      <c r="A55" s="281"/>
      <c r="B55" s="186"/>
      <c r="C55" s="282"/>
      <c r="D55" s="148" t="s">
        <v>145</v>
      </c>
      <c r="E55" s="240">
        <f>18+24.5+9</f>
        <v>51.5</v>
      </c>
      <c r="F55" s="240" t="s">
        <v>101</v>
      </c>
      <c r="G55" s="91"/>
    </row>
    <row r="56" spans="1:14" ht="12.75" customHeight="1">
      <c r="A56" s="22">
        <v>23</v>
      </c>
      <c r="B56" s="23" t="s">
        <v>30</v>
      </c>
      <c r="C56" s="24" t="s">
        <v>31</v>
      </c>
      <c r="D56" s="41"/>
      <c r="E56" s="235"/>
      <c r="F56" s="235"/>
      <c r="G56" s="22"/>
    </row>
    <row r="57" spans="1:14" ht="12.75" customHeight="1">
      <c r="A57" s="281"/>
      <c r="B57" s="186"/>
      <c r="C57" s="282"/>
      <c r="D57" s="148" t="s">
        <v>212</v>
      </c>
      <c r="E57" s="240">
        <v>39</v>
      </c>
      <c r="F57" s="240" t="s">
        <v>101</v>
      </c>
      <c r="G57" s="91"/>
    </row>
    <row r="58" spans="1:14" ht="12.75" customHeight="1">
      <c r="A58" s="22">
        <v>24</v>
      </c>
      <c r="B58" s="31" t="s">
        <v>30</v>
      </c>
      <c r="C58" s="24" t="s">
        <v>32</v>
      </c>
      <c r="D58" s="56"/>
      <c r="E58" s="236"/>
      <c r="F58" s="236"/>
      <c r="G58" s="22"/>
    </row>
    <row r="59" spans="1:14" ht="24">
      <c r="A59" s="281"/>
      <c r="B59" s="186"/>
      <c r="C59" s="282"/>
      <c r="D59" s="148" t="s">
        <v>203</v>
      </c>
      <c r="E59" s="240">
        <f>4+16+11+6+11+4+31+48</f>
        <v>131</v>
      </c>
      <c r="F59" s="240" t="s">
        <v>101</v>
      </c>
      <c r="G59" s="91"/>
    </row>
    <row r="60" spans="1:14">
      <c r="A60" s="281"/>
      <c r="B60" s="186"/>
      <c r="C60" s="282"/>
      <c r="D60" s="148" t="s">
        <v>70</v>
      </c>
      <c r="E60" s="240">
        <v>3</v>
      </c>
      <c r="F60" s="240" t="s">
        <v>126</v>
      </c>
      <c r="G60" s="91"/>
    </row>
    <row r="61" spans="1:14" ht="12.75" customHeight="1">
      <c r="A61" s="22">
        <v>25</v>
      </c>
      <c r="B61" s="31" t="s">
        <v>30</v>
      </c>
      <c r="C61" s="24" t="s">
        <v>33</v>
      </c>
      <c r="D61" s="56"/>
      <c r="E61" s="236"/>
      <c r="F61" s="236"/>
      <c r="G61" s="22"/>
    </row>
    <row r="62" spans="1:14" s="107" customFormat="1">
      <c r="A62" s="222"/>
      <c r="B62" s="212"/>
      <c r="C62" s="223"/>
      <c r="D62" s="148" t="s">
        <v>212</v>
      </c>
      <c r="E62" s="240">
        <v>56</v>
      </c>
      <c r="F62" s="240" t="s">
        <v>101</v>
      </c>
      <c r="G62" s="93"/>
      <c r="N62" s="129"/>
    </row>
    <row r="63" spans="1:14" ht="12.75" customHeight="1">
      <c r="A63" s="22">
        <v>26</v>
      </c>
      <c r="B63" s="31" t="s">
        <v>30</v>
      </c>
      <c r="C63" s="24" t="s">
        <v>34</v>
      </c>
      <c r="D63" s="56"/>
      <c r="E63" s="236"/>
      <c r="F63" s="236"/>
      <c r="G63" s="22"/>
    </row>
    <row r="64" spans="1:14">
      <c r="A64" s="281"/>
      <c r="B64" s="186"/>
      <c r="C64" s="282"/>
      <c r="D64" s="148" t="s">
        <v>221</v>
      </c>
      <c r="E64" s="240">
        <f>4+39</f>
        <v>43</v>
      </c>
      <c r="F64" s="240"/>
      <c r="G64" s="91"/>
    </row>
    <row r="65" spans="1:9">
      <c r="A65" s="281"/>
      <c r="B65" s="186"/>
      <c r="C65" s="282"/>
      <c r="D65" s="149" t="s">
        <v>204</v>
      </c>
      <c r="E65" s="240">
        <v>1</v>
      </c>
      <c r="F65" s="240"/>
      <c r="G65" s="91"/>
    </row>
    <row r="66" spans="1:9" ht="12.75" customHeight="1">
      <c r="A66" s="22">
        <v>27</v>
      </c>
      <c r="B66" s="31" t="s">
        <v>30</v>
      </c>
      <c r="C66" s="24" t="s">
        <v>35</v>
      </c>
      <c r="D66" s="56"/>
      <c r="E66" s="236"/>
      <c r="F66" s="236"/>
      <c r="G66" s="22"/>
    </row>
    <row r="67" spans="1:9">
      <c r="A67" s="281"/>
      <c r="B67" s="186"/>
      <c r="C67" s="282"/>
      <c r="D67" s="148" t="s">
        <v>142</v>
      </c>
      <c r="E67" s="240">
        <v>5</v>
      </c>
      <c r="F67" s="240" t="s">
        <v>101</v>
      </c>
      <c r="G67" s="91"/>
    </row>
    <row r="68" spans="1:9" ht="12.75" customHeight="1">
      <c r="A68" s="22">
        <v>28</v>
      </c>
      <c r="B68" s="31" t="s">
        <v>30</v>
      </c>
      <c r="C68" s="24" t="s">
        <v>36</v>
      </c>
      <c r="D68" s="56"/>
      <c r="E68" s="236"/>
      <c r="F68" s="236"/>
      <c r="G68" s="22"/>
    </row>
    <row r="69" spans="1:9">
      <c r="A69" s="281"/>
      <c r="B69" s="186"/>
      <c r="C69" s="282"/>
      <c r="D69" s="148" t="s">
        <v>106</v>
      </c>
      <c r="E69" s="240">
        <f>18+28+9+14</f>
        <v>69</v>
      </c>
      <c r="F69" s="240" t="s">
        <v>101</v>
      </c>
      <c r="G69" s="91"/>
      <c r="H69" s="94"/>
      <c r="I69" s="94"/>
    </row>
    <row r="70" spans="1:9" ht="12.75" customHeight="1">
      <c r="A70" s="98">
        <v>32</v>
      </c>
      <c r="B70" s="100" t="s">
        <v>38</v>
      </c>
      <c r="C70" s="108">
        <v>46</v>
      </c>
      <c r="D70" s="104"/>
      <c r="E70" s="250"/>
      <c r="F70" s="250"/>
      <c r="G70" s="105"/>
    </row>
    <row r="71" spans="1:9" ht="12.75" customHeight="1">
      <c r="A71" s="281"/>
      <c r="B71" s="186"/>
      <c r="C71" s="17"/>
      <c r="D71" s="148" t="s">
        <v>88</v>
      </c>
      <c r="E71" s="240">
        <f>6</f>
        <v>6</v>
      </c>
      <c r="F71" s="240" t="s">
        <v>107</v>
      </c>
      <c r="G71" s="93"/>
    </row>
    <row r="72" spans="1:9" ht="12.75" customHeight="1">
      <c r="A72" s="98">
        <v>33</v>
      </c>
      <c r="B72" s="100" t="s">
        <v>39</v>
      </c>
      <c r="C72" s="108">
        <v>24</v>
      </c>
      <c r="D72" s="104"/>
      <c r="E72" s="250"/>
      <c r="F72" s="250"/>
      <c r="G72" s="105"/>
    </row>
    <row r="73" spans="1:9">
      <c r="A73" s="281"/>
      <c r="B73" s="186"/>
      <c r="C73" s="17"/>
      <c r="D73" s="148" t="s">
        <v>167</v>
      </c>
      <c r="E73" s="240">
        <f>9+14</f>
        <v>23</v>
      </c>
      <c r="F73" s="240" t="s">
        <v>101</v>
      </c>
      <c r="G73" s="93"/>
    </row>
    <row r="74" spans="1:9" ht="12.75" customHeight="1">
      <c r="A74" s="98">
        <v>34</v>
      </c>
      <c r="B74" s="100" t="s">
        <v>40</v>
      </c>
      <c r="C74" s="108">
        <v>28</v>
      </c>
      <c r="D74" s="181"/>
      <c r="E74" s="252"/>
      <c r="F74" s="252"/>
      <c r="G74" s="105"/>
    </row>
    <row r="75" spans="1:9" ht="12.75" customHeight="1">
      <c r="A75" s="281"/>
      <c r="B75" s="186"/>
      <c r="C75" s="282"/>
      <c r="D75" s="148" t="s">
        <v>165</v>
      </c>
      <c r="E75" s="240">
        <f>(27.3+27.3+27.3+27.6+34)</f>
        <v>143.5</v>
      </c>
      <c r="F75" s="240" t="s">
        <v>101</v>
      </c>
      <c r="G75" s="93"/>
    </row>
    <row r="76" spans="1:9" ht="12.75" customHeight="1">
      <c r="A76" s="98">
        <v>35</v>
      </c>
      <c r="B76" s="100" t="s">
        <v>39</v>
      </c>
      <c r="C76" s="108">
        <v>30</v>
      </c>
      <c r="D76" s="104"/>
      <c r="E76" s="250"/>
      <c r="F76" s="250"/>
      <c r="G76" s="105"/>
    </row>
    <row r="77" spans="1:9" ht="12.75" customHeight="1">
      <c r="A77" s="281"/>
      <c r="B77" s="186"/>
      <c r="C77" s="17"/>
      <c r="D77" s="227" t="s">
        <v>108</v>
      </c>
      <c r="E77" s="253"/>
      <c r="F77" s="253"/>
      <c r="G77" s="228" t="s">
        <v>83</v>
      </c>
    </row>
    <row r="78" spans="1:9" ht="12.75" customHeight="1">
      <c r="A78" s="98">
        <v>36</v>
      </c>
      <c r="B78" s="100" t="s">
        <v>41</v>
      </c>
      <c r="C78" s="108" t="s">
        <v>42</v>
      </c>
      <c r="D78" s="104"/>
      <c r="E78" s="250"/>
      <c r="F78" s="250"/>
      <c r="G78" s="105"/>
    </row>
    <row r="79" spans="1:9" ht="12.75" customHeight="1">
      <c r="A79" s="281"/>
      <c r="B79" s="186"/>
      <c r="C79" s="17"/>
      <c r="D79" s="148" t="s">
        <v>183</v>
      </c>
      <c r="E79" s="249">
        <v>14</v>
      </c>
      <c r="F79" s="249" t="s">
        <v>101</v>
      </c>
      <c r="G79" s="93"/>
    </row>
    <row r="80" spans="1:9" ht="12.75" customHeight="1">
      <c r="A80" s="98">
        <v>37</v>
      </c>
      <c r="B80" s="100" t="s">
        <v>43</v>
      </c>
      <c r="C80" s="108">
        <v>3</v>
      </c>
      <c r="D80" s="104"/>
      <c r="E80" s="250"/>
      <c r="F80" s="250"/>
      <c r="G80" s="105"/>
    </row>
    <row r="81" spans="1:14" ht="12.75" customHeight="1">
      <c r="A81" s="281"/>
      <c r="B81" s="33"/>
      <c r="C81" s="282"/>
      <c r="D81" s="148" t="s">
        <v>209</v>
      </c>
      <c r="E81" s="240">
        <v>90</v>
      </c>
      <c r="F81" s="240" t="s">
        <v>101</v>
      </c>
      <c r="G81" s="93" t="s">
        <v>210</v>
      </c>
    </row>
    <row r="82" spans="1:14" ht="12.75" customHeight="1">
      <c r="A82" s="281"/>
      <c r="B82" s="33"/>
      <c r="C82" s="282"/>
      <c r="D82" s="148" t="s">
        <v>139</v>
      </c>
      <c r="E82" s="240">
        <v>1</v>
      </c>
      <c r="F82" s="240" t="s">
        <v>97</v>
      </c>
      <c r="G82" s="93"/>
    </row>
    <row r="83" spans="1:14" s="107" customFormat="1" ht="12.75" customHeight="1">
      <c r="A83" s="98">
        <v>38</v>
      </c>
      <c r="B83" s="100" t="s">
        <v>43</v>
      </c>
      <c r="C83" s="108">
        <v>5</v>
      </c>
      <c r="D83" s="104"/>
      <c r="E83" s="250"/>
      <c r="F83" s="250"/>
      <c r="G83" s="105"/>
      <c r="N83" s="129"/>
    </row>
    <row r="84" spans="1:14" ht="12.75" customHeight="1">
      <c r="A84" s="281"/>
      <c r="B84" s="186"/>
      <c r="C84" s="282"/>
      <c r="D84" s="148" t="s">
        <v>85</v>
      </c>
      <c r="E84" s="240"/>
      <c r="F84" s="240"/>
      <c r="G84" s="323" t="s">
        <v>89</v>
      </c>
      <c r="H84" s="324"/>
    </row>
    <row r="85" spans="1:14" ht="12.75" customHeight="1">
      <c r="A85" s="98">
        <v>39</v>
      </c>
      <c r="B85" s="100" t="s">
        <v>44</v>
      </c>
      <c r="C85" s="108" t="s">
        <v>56</v>
      </c>
      <c r="D85" s="104"/>
      <c r="E85" s="250"/>
      <c r="F85" s="250"/>
      <c r="G85" s="105"/>
    </row>
    <row r="86" spans="1:14" ht="24">
      <c r="A86" s="281"/>
      <c r="B86" s="186"/>
      <c r="C86" s="17"/>
      <c r="D86" s="148" t="s">
        <v>211</v>
      </c>
      <c r="E86" s="240">
        <f>32+8+10+20+16+68</f>
        <v>154</v>
      </c>
      <c r="F86" s="240"/>
      <c r="G86" s="222"/>
    </row>
    <row r="87" spans="1:14" ht="12.75" customHeight="1">
      <c r="A87" s="98">
        <v>40</v>
      </c>
      <c r="B87" s="100" t="s">
        <v>45</v>
      </c>
      <c r="C87" s="108">
        <v>11</v>
      </c>
      <c r="D87" s="104"/>
      <c r="E87" s="250"/>
      <c r="F87" s="250"/>
      <c r="G87" s="105"/>
    </row>
    <row r="88" spans="1:14">
      <c r="A88" s="281"/>
      <c r="B88" s="186"/>
      <c r="C88" s="17"/>
      <c r="D88" s="148" t="s">
        <v>212</v>
      </c>
      <c r="E88" s="240">
        <v>30</v>
      </c>
      <c r="F88" s="240" t="s">
        <v>101</v>
      </c>
      <c r="G88" s="93"/>
    </row>
    <row r="89" spans="1:14" ht="12.75" customHeight="1">
      <c r="A89" s="98">
        <v>41</v>
      </c>
      <c r="B89" s="100" t="s">
        <v>45</v>
      </c>
      <c r="C89" s="108">
        <v>13</v>
      </c>
      <c r="D89" s="104"/>
      <c r="E89" s="250"/>
      <c r="F89" s="250"/>
      <c r="G89" s="105"/>
    </row>
    <row r="90" spans="1:14" ht="24">
      <c r="A90" s="281"/>
      <c r="B90" s="186"/>
      <c r="C90" s="282"/>
      <c r="D90" s="148" t="s">
        <v>213</v>
      </c>
      <c r="E90" s="240">
        <f>9+12+12+45</f>
        <v>78</v>
      </c>
      <c r="F90" s="240" t="s">
        <v>101</v>
      </c>
      <c r="G90" s="93"/>
    </row>
    <row r="91" spans="1:14" ht="12.75" customHeight="1">
      <c r="A91" s="98">
        <v>42</v>
      </c>
      <c r="B91" s="100" t="s">
        <v>57</v>
      </c>
      <c r="C91" s="108">
        <v>17</v>
      </c>
      <c r="D91" s="104"/>
      <c r="E91" s="250"/>
      <c r="F91" s="250"/>
      <c r="G91" s="105"/>
    </row>
    <row r="92" spans="1:14" ht="12.75" customHeight="1">
      <c r="A92" s="98">
        <v>43</v>
      </c>
      <c r="B92" s="100" t="s">
        <v>45</v>
      </c>
      <c r="C92" s="108">
        <v>19</v>
      </c>
      <c r="D92" s="104"/>
      <c r="E92" s="250"/>
      <c r="F92" s="250"/>
      <c r="G92" s="105"/>
    </row>
    <row r="93" spans="1:14" ht="12.75" customHeight="1">
      <c r="A93" s="281"/>
      <c r="B93" s="186"/>
      <c r="C93" s="17"/>
      <c r="D93" s="148" t="s">
        <v>188</v>
      </c>
      <c r="E93" s="240">
        <v>3</v>
      </c>
      <c r="F93" s="240" t="s">
        <v>107</v>
      </c>
      <c r="G93" s="222"/>
    </row>
    <row r="94" spans="1:14" ht="12.75" customHeight="1">
      <c r="A94" s="98">
        <v>46</v>
      </c>
      <c r="B94" s="100" t="s">
        <v>47</v>
      </c>
      <c r="C94" s="108">
        <v>2</v>
      </c>
      <c r="D94" s="104"/>
      <c r="E94" s="250"/>
      <c r="F94" s="250"/>
      <c r="G94" s="105"/>
    </row>
    <row r="95" spans="1:14" ht="12.75" customHeight="1">
      <c r="A95" s="281"/>
      <c r="B95" s="90"/>
      <c r="C95" s="282"/>
      <c r="D95" s="148" t="s">
        <v>214</v>
      </c>
      <c r="E95" s="240">
        <f>14+41</f>
        <v>55</v>
      </c>
      <c r="F95" s="240"/>
      <c r="G95" s="281"/>
    </row>
    <row r="96" spans="1:14" ht="12.75" customHeight="1">
      <c r="A96" s="98">
        <v>47</v>
      </c>
      <c r="B96" s="100" t="s">
        <v>47</v>
      </c>
      <c r="C96" s="108" t="s">
        <v>10</v>
      </c>
      <c r="D96" s="181"/>
      <c r="E96" s="252"/>
      <c r="F96" s="252"/>
      <c r="G96" s="105"/>
    </row>
    <row r="97" spans="1:7" ht="12.75" customHeight="1">
      <c r="A97" s="281"/>
      <c r="B97" s="90"/>
      <c r="C97" s="282"/>
      <c r="D97" s="148" t="s">
        <v>215</v>
      </c>
      <c r="E97" s="240">
        <v>11</v>
      </c>
      <c r="F97" s="240" t="s">
        <v>101</v>
      </c>
      <c r="G97" s="65"/>
    </row>
    <row r="98" spans="1:7" ht="12.75" customHeight="1">
      <c r="A98" s="98">
        <v>54</v>
      </c>
      <c r="B98" s="100" t="s">
        <v>46</v>
      </c>
      <c r="C98" s="108">
        <v>14</v>
      </c>
      <c r="D98" s="104"/>
      <c r="E98" s="250"/>
      <c r="F98" s="250"/>
      <c r="G98" s="105"/>
    </row>
    <row r="99" spans="1:7">
      <c r="A99" s="98"/>
      <c r="B99" s="90" t="s">
        <v>64</v>
      </c>
      <c r="C99" s="282"/>
      <c r="D99" s="148" t="s">
        <v>87</v>
      </c>
      <c r="E99" s="240">
        <f>16+18</f>
        <v>34</v>
      </c>
      <c r="F99" s="240" t="s">
        <v>101</v>
      </c>
      <c r="G99" s="65"/>
    </row>
    <row r="100" spans="1:7">
      <c r="A100" s="98"/>
      <c r="B100" s="90"/>
      <c r="C100" s="282"/>
      <c r="D100" s="148" t="s">
        <v>128</v>
      </c>
      <c r="E100" s="240">
        <v>1</v>
      </c>
      <c r="F100" s="240" t="s">
        <v>97</v>
      </c>
      <c r="G100" s="65"/>
    </row>
    <row r="101" spans="1:7" ht="12.75" customHeight="1">
      <c r="A101" s="174"/>
      <c r="B101" s="175"/>
      <c r="C101" s="176"/>
      <c r="D101" s="179" t="s">
        <v>164</v>
      </c>
      <c r="E101" s="339">
        <f>E5+E7+E16+E19+E22+E24+E31+E33+E35+E37+E48+E52+E55+E59+E62+E67+E64+E69+E29</f>
        <v>1274.5</v>
      </c>
      <c r="F101" s="340"/>
      <c r="G101" s="177"/>
    </row>
    <row r="102" spans="1:7" ht="12.75" customHeight="1">
      <c r="D102" s="265" t="s">
        <v>164</v>
      </c>
      <c r="E102" s="266">
        <f>E71+E73+E75+E86+E95+E99+E90+E79</f>
        <v>507.5</v>
      </c>
    </row>
    <row r="103" spans="1:7" ht="12.75" customHeight="1"/>
    <row r="104" spans="1:7" ht="12.75" customHeight="1"/>
    <row r="105" spans="1:7" ht="12.75" customHeight="1"/>
    <row r="106" spans="1:7" ht="12.75" customHeight="1"/>
    <row r="107" spans="1:7" ht="12.75" customHeight="1"/>
    <row r="108" spans="1:7" ht="12.75" customHeight="1"/>
    <row r="109" spans="1:7" ht="12.75" customHeight="1"/>
    <row r="110" spans="1:7" ht="12.75" customHeight="1"/>
    <row r="111" spans="1:7" ht="12.75" customHeight="1"/>
    <row r="112" spans="1:7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</sheetData>
  <mergeCells count="10">
    <mergeCell ref="A2:A3"/>
    <mergeCell ref="B2:B3"/>
    <mergeCell ref="C2:C3"/>
    <mergeCell ref="G84:H84"/>
    <mergeCell ref="E101:F101"/>
    <mergeCell ref="E1:G1"/>
    <mergeCell ref="D2:F2"/>
    <mergeCell ref="G2:G3"/>
    <mergeCell ref="G37:H37"/>
    <mergeCell ref="H39:J39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21"/>
  <sheetViews>
    <sheetView view="pageBreakPreview" topLeftCell="B1" zoomScale="130" zoomScaleNormal="100" zoomScaleSheetLayoutView="130" workbookViewId="0">
      <selection activeCell="G52" sqref="G52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13.7109375" style="169" bestFit="1" customWidth="1"/>
    <col min="8" max="8" width="21.140625" customWidth="1"/>
    <col min="9" max="9" width="12.7109375" bestFit="1" customWidth="1"/>
    <col min="10" max="10" width="11.140625" customWidth="1"/>
    <col min="12" max="12" width="9.28515625" bestFit="1" customWidth="1"/>
    <col min="13" max="13" width="18.7109375" customWidth="1"/>
    <col min="14" max="14" width="28.5703125" customWidth="1"/>
    <col min="15" max="15" width="10" style="76" bestFit="1" customWidth="1"/>
    <col min="16" max="16" width="29.42578125" customWidth="1"/>
    <col min="17" max="17" width="9.28515625" bestFit="1" customWidth="1"/>
  </cols>
  <sheetData>
    <row r="1" spans="1:10">
      <c r="A1" s="171"/>
      <c r="B1" s="170"/>
      <c r="C1" s="109"/>
      <c r="D1" s="1"/>
      <c r="E1" s="232"/>
      <c r="F1" s="232"/>
      <c r="G1" s="165"/>
      <c r="H1" s="58"/>
    </row>
    <row r="2" spans="1:10" ht="15" customHeight="1">
      <c r="A2" s="321" t="s">
        <v>0</v>
      </c>
      <c r="B2" s="321" t="s">
        <v>1</v>
      </c>
      <c r="C2" s="322" t="s">
        <v>2</v>
      </c>
      <c r="D2" s="325" t="s">
        <v>62</v>
      </c>
      <c r="E2" s="325"/>
      <c r="F2" s="325"/>
      <c r="G2" s="325"/>
      <c r="H2" s="321" t="s">
        <v>5</v>
      </c>
    </row>
    <row r="3" spans="1:10" ht="24.75">
      <c r="A3" s="321"/>
      <c r="B3" s="321"/>
      <c r="C3" s="322"/>
      <c r="D3" s="276" t="s">
        <v>61</v>
      </c>
      <c r="E3" s="8" t="s">
        <v>91</v>
      </c>
      <c r="F3" s="8" t="s">
        <v>95</v>
      </c>
      <c r="G3" s="150" t="s">
        <v>6</v>
      </c>
      <c r="H3" s="321"/>
    </row>
    <row r="4" spans="1:10" ht="12.75" customHeight="1">
      <c r="A4" s="98">
        <v>29</v>
      </c>
      <c r="B4" s="100" t="s">
        <v>37</v>
      </c>
      <c r="C4" s="108">
        <v>2</v>
      </c>
      <c r="D4" s="104"/>
      <c r="E4" s="250"/>
      <c r="F4" s="250"/>
      <c r="G4" s="162"/>
      <c r="H4" s="105"/>
    </row>
    <row r="5" spans="1:10" ht="12.75" customHeight="1">
      <c r="A5" s="276"/>
      <c r="B5" s="90"/>
      <c r="C5" s="17"/>
      <c r="D5" s="148" t="s">
        <v>80</v>
      </c>
      <c r="E5" s="240"/>
      <c r="F5" s="240"/>
      <c r="G5" s="150"/>
      <c r="H5" s="93"/>
      <c r="I5" s="278"/>
      <c r="J5" s="278"/>
    </row>
    <row r="6" spans="1:10" ht="12.75" customHeight="1">
      <c r="A6" s="98">
        <v>30</v>
      </c>
      <c r="B6" s="100" t="s">
        <v>38</v>
      </c>
      <c r="C6" s="108">
        <v>36</v>
      </c>
      <c r="D6" s="104"/>
      <c r="E6" s="250"/>
      <c r="F6" s="250"/>
      <c r="G6" s="162"/>
      <c r="H6" s="105"/>
    </row>
    <row r="7" spans="1:10" ht="12.75" customHeight="1">
      <c r="A7" s="276"/>
      <c r="B7" s="90"/>
      <c r="C7" s="17"/>
      <c r="D7" s="148"/>
      <c r="E7" s="249"/>
      <c r="F7" s="249"/>
      <c r="G7" s="150"/>
      <c r="H7" s="93"/>
    </row>
    <row r="8" spans="1:10" ht="12.75" customHeight="1">
      <c r="A8" s="98">
        <v>31</v>
      </c>
      <c r="B8" s="100" t="s">
        <v>38</v>
      </c>
      <c r="C8" s="108">
        <v>40</v>
      </c>
      <c r="D8" s="104"/>
      <c r="E8" s="250"/>
      <c r="F8" s="250"/>
      <c r="G8" s="162"/>
      <c r="H8" s="105"/>
    </row>
    <row r="9" spans="1:10" ht="12.75" customHeight="1">
      <c r="A9" s="276"/>
      <c r="B9" s="186"/>
      <c r="C9" s="17"/>
      <c r="D9" s="67"/>
      <c r="E9" s="249"/>
      <c r="F9" s="249"/>
      <c r="G9" s="150"/>
      <c r="H9" s="61"/>
    </row>
    <row r="10" spans="1:10" ht="12.75" customHeight="1">
      <c r="A10" s="98">
        <v>32</v>
      </c>
      <c r="B10" s="100" t="s">
        <v>38</v>
      </c>
      <c r="C10" s="108">
        <v>46</v>
      </c>
      <c r="D10" s="104"/>
      <c r="E10" s="250"/>
      <c r="F10" s="250"/>
      <c r="G10" s="162"/>
      <c r="H10" s="105"/>
    </row>
    <row r="11" spans="1:10" ht="12.75" customHeight="1">
      <c r="A11" s="276"/>
      <c r="B11" s="186"/>
      <c r="C11" s="17"/>
      <c r="D11" s="148" t="s">
        <v>88</v>
      </c>
      <c r="E11" s="240">
        <f>6</f>
        <v>6</v>
      </c>
      <c r="F11" s="240" t="s">
        <v>107</v>
      </c>
      <c r="G11" s="166">
        <f>E11*530</f>
        <v>3180</v>
      </c>
      <c r="H11" s="93"/>
    </row>
    <row r="12" spans="1:10" ht="12.75" customHeight="1">
      <c r="A12" s="98">
        <v>33</v>
      </c>
      <c r="B12" s="100" t="s">
        <v>39</v>
      </c>
      <c r="C12" s="108">
        <v>24</v>
      </c>
      <c r="D12" s="104"/>
      <c r="E12" s="250"/>
      <c r="F12" s="250"/>
      <c r="G12" s="162"/>
      <c r="H12" s="105"/>
    </row>
    <row r="13" spans="1:10">
      <c r="A13" s="276"/>
      <c r="B13" s="186"/>
      <c r="C13" s="17"/>
      <c r="D13" s="148" t="s">
        <v>167</v>
      </c>
      <c r="E13" s="240">
        <f>9+14</f>
        <v>23</v>
      </c>
      <c r="F13" s="240" t="s">
        <v>101</v>
      </c>
      <c r="G13" s="166">
        <f>E13*530</f>
        <v>12190</v>
      </c>
      <c r="H13" s="93"/>
    </row>
    <row r="14" spans="1:10" ht="12.75" customHeight="1">
      <c r="A14" s="98">
        <v>34</v>
      </c>
      <c r="B14" s="100" t="s">
        <v>40</v>
      </c>
      <c r="C14" s="108">
        <v>28</v>
      </c>
      <c r="D14" s="181"/>
      <c r="E14" s="252"/>
      <c r="F14" s="252"/>
      <c r="G14" s="182"/>
      <c r="H14" s="105"/>
    </row>
    <row r="15" spans="1:10" ht="12.75" customHeight="1">
      <c r="A15" s="276"/>
      <c r="B15" s="186"/>
      <c r="C15" s="277"/>
      <c r="D15" s="148" t="s">
        <v>165</v>
      </c>
      <c r="E15" s="240">
        <f>(27.3+27.3+27.3+27.6+34)</f>
        <v>143.5</v>
      </c>
      <c r="F15" s="240" t="s">
        <v>101</v>
      </c>
      <c r="G15" s="166">
        <f>E15*530</f>
        <v>76055</v>
      </c>
      <c r="H15" s="93"/>
    </row>
    <row r="16" spans="1:10" ht="12.75" customHeight="1">
      <c r="A16" s="98">
        <v>35</v>
      </c>
      <c r="B16" s="100" t="s">
        <v>39</v>
      </c>
      <c r="C16" s="108">
        <v>30</v>
      </c>
      <c r="D16" s="104"/>
      <c r="E16" s="250"/>
      <c r="F16" s="250"/>
      <c r="G16" s="162"/>
      <c r="H16" s="105"/>
    </row>
    <row r="17" spans="1:15" ht="12.75" customHeight="1">
      <c r="A17" s="276"/>
      <c r="B17" s="186"/>
      <c r="C17" s="17"/>
      <c r="D17" s="264" t="s">
        <v>108</v>
      </c>
      <c r="E17" s="279"/>
      <c r="F17" s="279"/>
      <c r="G17" s="280"/>
      <c r="H17" s="341" t="s">
        <v>201</v>
      </c>
      <c r="I17" s="342"/>
    </row>
    <row r="18" spans="1:15" ht="12.75" customHeight="1">
      <c r="A18" s="98">
        <v>36</v>
      </c>
      <c r="B18" s="100" t="s">
        <v>41</v>
      </c>
      <c r="C18" s="108" t="s">
        <v>42</v>
      </c>
      <c r="D18" s="104"/>
      <c r="E18" s="250"/>
      <c r="F18" s="250"/>
      <c r="G18" s="162"/>
      <c r="H18" s="105"/>
    </row>
    <row r="19" spans="1:15" ht="12.75" customHeight="1">
      <c r="A19" s="276"/>
      <c r="B19" s="186"/>
      <c r="C19" s="17"/>
      <c r="D19" s="148" t="s">
        <v>183</v>
      </c>
      <c r="E19" s="249">
        <v>14</v>
      </c>
      <c r="F19" s="249" t="s">
        <v>101</v>
      </c>
      <c r="G19" s="150">
        <f>E19*530</f>
        <v>7420</v>
      </c>
      <c r="H19" s="93"/>
    </row>
    <row r="20" spans="1:15" ht="12.75" customHeight="1">
      <c r="A20" s="98">
        <v>37</v>
      </c>
      <c r="B20" s="100" t="s">
        <v>43</v>
      </c>
      <c r="C20" s="108">
        <v>3</v>
      </c>
      <c r="D20" s="104"/>
      <c r="E20" s="250"/>
      <c r="F20" s="250"/>
      <c r="G20" s="162"/>
      <c r="H20" s="105"/>
    </row>
    <row r="21" spans="1:15" ht="12.75" customHeight="1">
      <c r="A21" s="276"/>
      <c r="B21" s="33"/>
      <c r="C21" s="277"/>
      <c r="D21" s="148" t="s">
        <v>77</v>
      </c>
      <c r="E21" s="240"/>
      <c r="F21" s="240"/>
      <c r="G21" s="150"/>
      <c r="H21" s="93"/>
    </row>
    <row r="22" spans="1:15" s="107" customFormat="1" ht="12.75" customHeight="1">
      <c r="A22" s="98">
        <v>38</v>
      </c>
      <c r="B22" s="100" t="s">
        <v>43</v>
      </c>
      <c r="C22" s="108">
        <v>5</v>
      </c>
      <c r="D22" s="104"/>
      <c r="E22" s="250"/>
      <c r="F22" s="250"/>
      <c r="G22" s="162"/>
      <c r="H22" s="105"/>
      <c r="O22" s="129"/>
    </row>
    <row r="23" spans="1:15" ht="12.75" customHeight="1">
      <c r="A23" s="276"/>
      <c r="B23" s="186"/>
      <c r="C23" s="277"/>
      <c r="D23" s="148" t="s">
        <v>85</v>
      </c>
      <c r="E23" s="240"/>
      <c r="F23" s="240"/>
      <c r="G23" s="166"/>
      <c r="H23" s="323" t="s">
        <v>199</v>
      </c>
      <c r="I23" s="324"/>
    </row>
    <row r="24" spans="1:15" ht="12.75" customHeight="1">
      <c r="A24" s="98">
        <v>39</v>
      </c>
      <c r="B24" s="100" t="s">
        <v>44</v>
      </c>
      <c r="C24" s="108" t="s">
        <v>56</v>
      </c>
      <c r="D24" s="104"/>
      <c r="E24" s="250"/>
      <c r="F24" s="250"/>
      <c r="G24" s="162"/>
      <c r="H24" s="105"/>
    </row>
    <row r="25" spans="1:15">
      <c r="A25" s="276"/>
      <c r="B25" s="186"/>
      <c r="C25" s="17"/>
      <c r="D25" s="148" t="s">
        <v>140</v>
      </c>
      <c r="E25" s="240">
        <f>32+8+10+20+16</f>
        <v>86</v>
      </c>
      <c r="F25" s="240"/>
      <c r="G25" s="166">
        <f>E25*530</f>
        <v>45580</v>
      </c>
      <c r="H25" s="222"/>
    </row>
    <row r="26" spans="1:15" ht="12.75" customHeight="1">
      <c r="A26" s="98">
        <v>40</v>
      </c>
      <c r="B26" s="100" t="s">
        <v>45</v>
      </c>
      <c r="C26" s="108">
        <v>11</v>
      </c>
      <c r="D26" s="104"/>
      <c r="E26" s="250"/>
      <c r="F26" s="250"/>
      <c r="G26" s="162"/>
      <c r="H26" s="105"/>
    </row>
    <row r="27" spans="1:15">
      <c r="A27" s="276"/>
      <c r="B27" s="186"/>
      <c r="C27" s="17"/>
      <c r="D27" s="148" t="s">
        <v>77</v>
      </c>
      <c r="E27" s="240"/>
      <c r="F27" s="240"/>
      <c r="G27" s="150"/>
      <c r="H27" s="93"/>
    </row>
    <row r="28" spans="1:15" ht="12.75" customHeight="1">
      <c r="A28" s="98">
        <v>41</v>
      </c>
      <c r="B28" s="100" t="s">
        <v>45</v>
      </c>
      <c r="C28" s="108">
        <v>13</v>
      </c>
      <c r="D28" s="104"/>
      <c r="E28" s="250"/>
      <c r="F28" s="250"/>
      <c r="G28" s="162"/>
      <c r="H28" s="105"/>
    </row>
    <row r="29" spans="1:15">
      <c r="A29" s="276"/>
      <c r="B29" s="186"/>
      <c r="C29" s="277"/>
      <c r="D29" s="148" t="s">
        <v>166</v>
      </c>
      <c r="E29" s="240">
        <f>9+12</f>
        <v>21</v>
      </c>
      <c r="F29" s="240" t="s">
        <v>101</v>
      </c>
      <c r="G29" s="166">
        <f>E29*530</f>
        <v>11130</v>
      </c>
      <c r="H29" s="93"/>
    </row>
    <row r="30" spans="1:15" ht="12.75" customHeight="1">
      <c r="A30" s="98">
        <v>42</v>
      </c>
      <c r="B30" s="100" t="s">
        <v>57</v>
      </c>
      <c r="C30" s="108">
        <v>17</v>
      </c>
      <c r="D30" s="104"/>
      <c r="E30" s="250"/>
      <c r="F30" s="250"/>
      <c r="G30" s="162"/>
      <c r="H30" s="105"/>
    </row>
    <row r="31" spans="1:15" ht="12.75" customHeight="1">
      <c r="A31" s="276"/>
      <c r="B31" s="186"/>
      <c r="C31" s="277"/>
      <c r="D31" s="148"/>
      <c r="E31" s="240"/>
      <c r="F31" s="240"/>
      <c r="G31" s="166"/>
      <c r="H31" s="222"/>
    </row>
    <row r="32" spans="1:15" ht="12.75" customHeight="1">
      <c r="A32" s="98">
        <v>43</v>
      </c>
      <c r="B32" s="100" t="s">
        <v>45</v>
      </c>
      <c r="C32" s="108">
        <v>19</v>
      </c>
      <c r="D32" s="104"/>
      <c r="E32" s="250"/>
      <c r="F32" s="250"/>
      <c r="G32" s="162"/>
      <c r="H32" s="105"/>
    </row>
    <row r="33" spans="1:8" ht="12.75" customHeight="1">
      <c r="A33" s="276"/>
      <c r="B33" s="186"/>
      <c r="C33" s="17"/>
      <c r="D33" s="148" t="s">
        <v>188</v>
      </c>
      <c r="E33" s="240">
        <v>3</v>
      </c>
      <c r="F33" s="240" t="s">
        <v>107</v>
      </c>
      <c r="G33" s="205">
        <f>E33*530</f>
        <v>1590</v>
      </c>
      <c r="H33" s="222" t="s">
        <v>200</v>
      </c>
    </row>
    <row r="34" spans="1:8" ht="12.75" customHeight="1">
      <c r="A34" s="98">
        <v>44</v>
      </c>
      <c r="B34" s="100" t="s">
        <v>45</v>
      </c>
      <c r="C34" s="108">
        <v>21</v>
      </c>
      <c r="D34" s="104"/>
      <c r="E34" s="250"/>
      <c r="F34" s="250"/>
      <c r="G34" s="162"/>
      <c r="H34" s="105"/>
    </row>
    <row r="35" spans="1:8">
      <c r="A35" s="276"/>
      <c r="B35" s="186"/>
      <c r="C35" s="17"/>
      <c r="D35" s="148" t="s">
        <v>77</v>
      </c>
      <c r="E35" s="240"/>
      <c r="F35" s="240"/>
      <c r="G35" s="150"/>
      <c r="H35" s="222"/>
    </row>
    <row r="36" spans="1:8" ht="12.75" customHeight="1">
      <c r="A36" s="98">
        <v>45</v>
      </c>
      <c r="B36" s="100" t="s">
        <v>58</v>
      </c>
      <c r="C36" s="108" t="s">
        <v>59</v>
      </c>
      <c r="D36" s="104"/>
      <c r="E36" s="250"/>
      <c r="F36" s="250"/>
      <c r="G36" s="162"/>
      <c r="H36" s="105"/>
    </row>
    <row r="37" spans="1:8">
      <c r="A37" s="276"/>
      <c r="B37" s="90"/>
      <c r="C37" s="17"/>
      <c r="D37" s="148" t="s">
        <v>77</v>
      </c>
      <c r="E37" s="240"/>
      <c r="F37" s="240"/>
      <c r="G37" s="150"/>
      <c r="H37" s="222"/>
    </row>
    <row r="38" spans="1:8" ht="12.75" customHeight="1">
      <c r="A38" s="98">
        <v>46</v>
      </c>
      <c r="B38" s="100" t="s">
        <v>47</v>
      </c>
      <c r="C38" s="108">
        <v>2</v>
      </c>
      <c r="D38" s="104"/>
      <c r="E38" s="250"/>
      <c r="F38" s="250"/>
      <c r="G38" s="162"/>
      <c r="H38" s="105"/>
    </row>
    <row r="39" spans="1:8" ht="12.75" customHeight="1">
      <c r="A39" s="276"/>
      <c r="B39" s="90"/>
      <c r="C39" s="277"/>
      <c r="D39" s="148" t="s">
        <v>96</v>
      </c>
      <c r="E39" s="240">
        <v>14</v>
      </c>
      <c r="F39" s="240"/>
      <c r="G39" s="150">
        <f>E39*530</f>
        <v>7420</v>
      </c>
      <c r="H39" s="276"/>
    </row>
    <row r="40" spans="1:8" ht="12.75" customHeight="1">
      <c r="A40" s="98">
        <v>47</v>
      </c>
      <c r="B40" s="100" t="s">
        <v>47</v>
      </c>
      <c r="C40" s="108" t="s">
        <v>10</v>
      </c>
      <c r="D40" s="181"/>
      <c r="E40" s="252"/>
      <c r="F40" s="252"/>
      <c r="G40" s="182"/>
      <c r="H40" s="105"/>
    </row>
    <row r="41" spans="1:8" ht="12.75" customHeight="1">
      <c r="A41" s="276"/>
      <c r="B41" s="90"/>
      <c r="C41" s="277"/>
      <c r="D41" s="148"/>
      <c r="E41" s="240"/>
      <c r="F41" s="240"/>
      <c r="G41" s="166"/>
      <c r="H41" s="65"/>
    </row>
    <row r="42" spans="1:8" ht="12.75" customHeight="1">
      <c r="A42" s="98">
        <v>50</v>
      </c>
      <c r="B42" s="122" t="s">
        <v>50</v>
      </c>
      <c r="C42" s="108">
        <v>8</v>
      </c>
      <c r="D42" s="104"/>
      <c r="E42" s="250"/>
      <c r="F42" s="250"/>
      <c r="G42" s="162"/>
      <c r="H42" s="105"/>
    </row>
    <row r="43" spans="1:8" ht="12.75" customHeight="1">
      <c r="A43" s="98"/>
      <c r="B43" s="90"/>
      <c r="C43" s="277"/>
      <c r="D43" s="148" t="s">
        <v>77</v>
      </c>
      <c r="E43" s="240"/>
      <c r="F43" s="240"/>
      <c r="G43" s="150"/>
      <c r="H43" s="91"/>
    </row>
    <row r="44" spans="1:8" ht="12.75" customHeight="1">
      <c r="A44" s="98">
        <v>51</v>
      </c>
      <c r="B44" s="100" t="s">
        <v>51</v>
      </c>
      <c r="C44" s="108">
        <v>16</v>
      </c>
      <c r="D44" s="104"/>
      <c r="E44" s="250"/>
      <c r="F44" s="250"/>
      <c r="G44" s="162"/>
      <c r="H44" s="105"/>
    </row>
    <row r="45" spans="1:8" ht="12.75" customHeight="1">
      <c r="A45" s="98"/>
      <c r="B45" s="90"/>
      <c r="C45" s="277"/>
      <c r="D45" s="148"/>
      <c r="E45" s="240"/>
      <c r="F45" s="240"/>
      <c r="G45" s="166"/>
      <c r="H45" s="65"/>
    </row>
    <row r="46" spans="1:8" ht="12.75" customHeight="1">
      <c r="A46" s="98">
        <v>52</v>
      </c>
      <c r="B46" s="100" t="s">
        <v>51</v>
      </c>
      <c r="C46" s="108">
        <v>18</v>
      </c>
      <c r="D46" s="104"/>
      <c r="E46" s="250"/>
      <c r="F46" s="250"/>
      <c r="G46" s="162"/>
      <c r="H46" s="105"/>
    </row>
    <row r="47" spans="1:8" ht="12.75" customHeight="1">
      <c r="A47" s="98"/>
      <c r="B47" s="90"/>
      <c r="C47" s="17"/>
      <c r="D47" s="148"/>
      <c r="E47" s="240"/>
      <c r="F47" s="240"/>
      <c r="G47" s="166"/>
      <c r="H47" s="65"/>
    </row>
    <row r="48" spans="1:8" ht="12.75" customHeight="1">
      <c r="A48" s="98">
        <v>53</v>
      </c>
      <c r="B48" s="100" t="s">
        <v>39</v>
      </c>
      <c r="C48" s="108">
        <v>40</v>
      </c>
      <c r="D48" s="104"/>
      <c r="E48" s="250"/>
      <c r="F48" s="250"/>
      <c r="G48" s="162"/>
      <c r="H48" s="105"/>
    </row>
    <row r="49" spans="1:8" ht="12.75" customHeight="1">
      <c r="A49" s="98"/>
      <c r="B49" s="90"/>
      <c r="C49" s="17"/>
      <c r="D49" s="67"/>
      <c r="E49" s="249"/>
      <c r="F49" s="249"/>
      <c r="G49" s="150"/>
      <c r="H49" s="65"/>
    </row>
    <row r="50" spans="1:8" ht="12.75" customHeight="1">
      <c r="A50" s="98">
        <v>54</v>
      </c>
      <c r="B50" s="100" t="s">
        <v>46</v>
      </c>
      <c r="C50" s="108">
        <v>14</v>
      </c>
      <c r="D50" s="104"/>
      <c r="E50" s="250"/>
      <c r="F50" s="250"/>
      <c r="G50" s="162"/>
      <c r="H50" s="105"/>
    </row>
    <row r="51" spans="1:8">
      <c r="A51" s="98"/>
      <c r="B51" s="90"/>
      <c r="C51" s="277"/>
      <c r="D51" s="148" t="s">
        <v>87</v>
      </c>
      <c r="E51" s="240">
        <f>16+18</f>
        <v>34</v>
      </c>
      <c r="F51" s="240" t="s">
        <v>101</v>
      </c>
      <c r="G51" s="166">
        <f>E51*530</f>
        <v>18020</v>
      </c>
      <c r="H51" s="65"/>
    </row>
    <row r="52" spans="1:8" ht="12.75" customHeight="1">
      <c r="A52" s="98">
        <v>55</v>
      </c>
      <c r="B52" s="100" t="s">
        <v>46</v>
      </c>
      <c r="C52" s="108">
        <v>16</v>
      </c>
      <c r="D52" s="104"/>
      <c r="E52" s="250"/>
      <c r="F52" s="250"/>
      <c r="G52" s="162"/>
      <c r="H52" s="105"/>
    </row>
    <row r="53" spans="1:8">
      <c r="A53" s="98"/>
      <c r="B53" s="90"/>
      <c r="C53" s="277"/>
      <c r="D53" s="67"/>
      <c r="E53" s="249"/>
      <c r="F53" s="249"/>
      <c r="G53" s="150"/>
      <c r="H53" s="65"/>
    </row>
    <row r="54" spans="1:8" ht="12.75" customHeight="1">
      <c r="A54" s="98">
        <v>56</v>
      </c>
      <c r="B54" s="100" t="s">
        <v>52</v>
      </c>
      <c r="C54" s="108" t="s">
        <v>53</v>
      </c>
      <c r="D54" s="104"/>
      <c r="E54" s="250"/>
      <c r="F54" s="250"/>
      <c r="G54" s="162"/>
      <c r="H54" s="105"/>
    </row>
    <row r="55" spans="1:8" ht="12.75" customHeight="1">
      <c r="A55" s="98"/>
      <c r="B55" s="90"/>
      <c r="C55" s="277"/>
      <c r="D55" s="148"/>
      <c r="E55" s="240"/>
      <c r="F55" s="240"/>
      <c r="G55" s="150"/>
      <c r="H55" s="65"/>
    </row>
    <row r="56" spans="1:8" ht="12.75" customHeight="1">
      <c r="A56" s="98">
        <v>57</v>
      </c>
      <c r="B56" s="100" t="s">
        <v>54</v>
      </c>
      <c r="C56" s="108" t="s">
        <v>55</v>
      </c>
      <c r="D56" s="104"/>
      <c r="E56" s="250"/>
      <c r="F56" s="250"/>
      <c r="G56" s="162"/>
      <c r="H56" s="105"/>
    </row>
    <row r="57" spans="1:8" ht="12.75" customHeight="1">
      <c r="A57" s="123"/>
      <c r="B57" s="90"/>
      <c r="C57" s="277"/>
      <c r="D57" s="67"/>
      <c r="E57" s="249"/>
      <c r="F57" s="249"/>
      <c r="G57" s="150"/>
      <c r="H57" s="65"/>
    </row>
    <row r="58" spans="1:8" ht="12.75" customHeight="1">
      <c r="D58" s="265" t="s">
        <v>164</v>
      </c>
      <c r="E58" s="266">
        <f>SUM(E5:E56)</f>
        <v>344.5</v>
      </c>
      <c r="G58" s="169">
        <f>SUM(G4:G57)</f>
        <v>182585</v>
      </c>
    </row>
    <row r="59" spans="1:8" ht="12.75" customHeight="1"/>
    <row r="60" spans="1:8" ht="12.75" customHeight="1"/>
    <row r="61" spans="1:8" ht="12.75" customHeight="1"/>
    <row r="62" spans="1:8" ht="12.75" customHeight="1"/>
    <row r="63" spans="1:8" ht="12.75" customHeight="1"/>
    <row r="64" spans="1: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</sheetData>
  <mergeCells count="7">
    <mergeCell ref="H23:I23"/>
    <mergeCell ref="H17:I17"/>
    <mergeCell ref="D2:G2"/>
    <mergeCell ref="H2:H3"/>
    <mergeCell ref="A2:A3"/>
    <mergeCell ref="B2:B3"/>
    <mergeCell ref="C2:C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22"/>
  <sheetViews>
    <sheetView view="pageBreakPreview" topLeftCell="B1" zoomScale="130" zoomScaleNormal="100" zoomScaleSheetLayoutView="130" workbookViewId="0">
      <selection activeCell="E52" sqref="E52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13.7109375" style="169" bestFit="1" customWidth="1"/>
    <col min="8" max="8" width="21.140625" customWidth="1"/>
    <col min="9" max="9" width="12.7109375" bestFit="1" customWidth="1"/>
    <col min="10" max="10" width="11.140625" customWidth="1"/>
    <col min="12" max="12" width="9.28515625" bestFit="1" customWidth="1"/>
    <col min="13" max="13" width="18.7109375" customWidth="1"/>
    <col min="14" max="14" width="28.5703125" customWidth="1"/>
    <col min="15" max="15" width="10" style="76" bestFit="1" customWidth="1"/>
    <col min="16" max="16" width="29.42578125" customWidth="1"/>
    <col min="17" max="17" width="9.28515625" bestFit="1" customWidth="1"/>
  </cols>
  <sheetData>
    <row r="1" spans="1:16">
      <c r="A1" s="171"/>
      <c r="B1" s="170"/>
      <c r="C1" s="109"/>
      <c r="D1" s="1"/>
      <c r="E1" s="232"/>
      <c r="F1" s="232"/>
      <c r="G1" s="165"/>
      <c r="H1" s="58"/>
    </row>
    <row r="2" spans="1:16" ht="15" customHeight="1">
      <c r="A2" s="321" t="s">
        <v>0</v>
      </c>
      <c r="B2" s="321" t="s">
        <v>1</v>
      </c>
      <c r="C2" s="322" t="s">
        <v>2</v>
      </c>
      <c r="D2" s="325" t="s">
        <v>62</v>
      </c>
      <c r="E2" s="325"/>
      <c r="F2" s="325"/>
      <c r="G2" s="325"/>
      <c r="H2" s="321" t="s">
        <v>5</v>
      </c>
    </row>
    <row r="3" spans="1:16" ht="24.75">
      <c r="A3" s="321"/>
      <c r="B3" s="321"/>
      <c r="C3" s="322"/>
      <c r="D3" s="276" t="s">
        <v>61</v>
      </c>
      <c r="E3" s="8" t="s">
        <v>91</v>
      </c>
      <c r="F3" s="8" t="s">
        <v>95</v>
      </c>
      <c r="G3" s="150" t="s">
        <v>6</v>
      </c>
      <c r="H3" s="321"/>
    </row>
    <row r="4" spans="1:16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151"/>
      <c r="H4" s="21"/>
    </row>
    <row r="5" spans="1:16">
      <c r="A5" s="32"/>
      <c r="B5" s="186"/>
      <c r="C5" s="187"/>
      <c r="D5" s="148" t="s">
        <v>133</v>
      </c>
      <c r="E5" s="240">
        <f>23+14+10</f>
        <v>47</v>
      </c>
      <c r="F5" s="240" t="s">
        <v>101</v>
      </c>
      <c r="G5" s="166">
        <f>E5*530</f>
        <v>24910</v>
      </c>
      <c r="H5" s="89" t="s">
        <v>99</v>
      </c>
      <c r="I5" s="180"/>
      <c r="J5" s="180"/>
      <c r="M5" s="107"/>
      <c r="N5" s="75"/>
    </row>
    <row r="6" spans="1:16" ht="12.75" customHeight="1">
      <c r="A6" s="22">
        <v>2</v>
      </c>
      <c r="B6" s="23" t="s">
        <v>7</v>
      </c>
      <c r="C6" s="24">
        <v>4</v>
      </c>
      <c r="D6" s="38"/>
      <c r="E6" s="237"/>
      <c r="F6" s="237"/>
      <c r="G6" s="153"/>
      <c r="H6" s="39"/>
      <c r="L6" s="76"/>
      <c r="M6" s="142"/>
      <c r="N6" s="132"/>
      <c r="O6" s="128"/>
    </row>
    <row r="7" spans="1:16">
      <c r="A7" s="276"/>
      <c r="B7" s="186"/>
      <c r="C7" s="277"/>
      <c r="D7" s="148" t="s">
        <v>132</v>
      </c>
      <c r="E7" s="240">
        <v>15</v>
      </c>
      <c r="F7" s="240" t="s">
        <v>101</v>
      </c>
      <c r="G7" s="166">
        <f>E7*530</f>
        <v>7950</v>
      </c>
      <c r="H7" s="91"/>
      <c r="L7" s="76"/>
      <c r="M7" s="142"/>
      <c r="N7" s="131"/>
      <c r="O7" s="128"/>
    </row>
    <row r="8" spans="1:16" ht="12.75" customHeight="1">
      <c r="A8" s="68">
        <v>3</v>
      </c>
      <c r="B8" s="69" t="s">
        <v>7</v>
      </c>
      <c r="C8" s="70" t="s">
        <v>10</v>
      </c>
      <c r="D8" s="72"/>
      <c r="E8" s="243"/>
      <c r="F8" s="243"/>
      <c r="G8" s="155"/>
      <c r="H8" s="73"/>
      <c r="L8" s="76"/>
      <c r="M8" s="124"/>
      <c r="N8" s="131"/>
      <c r="O8" s="128"/>
    </row>
    <row r="9" spans="1:16" ht="12.75" customHeight="1">
      <c r="A9" s="276"/>
      <c r="B9" s="186"/>
      <c r="C9" s="277"/>
      <c r="D9" s="148" t="s">
        <v>77</v>
      </c>
      <c r="E9" s="240"/>
      <c r="F9" s="240"/>
      <c r="G9" s="150"/>
      <c r="H9" s="10"/>
      <c r="L9" s="76"/>
      <c r="M9" s="124"/>
      <c r="N9" s="131"/>
      <c r="O9" s="128"/>
    </row>
    <row r="10" spans="1:16" ht="12.75" customHeight="1">
      <c r="A10" s="22">
        <v>4</v>
      </c>
      <c r="B10" s="23" t="s">
        <v>7</v>
      </c>
      <c r="C10" s="34" t="s">
        <v>12</v>
      </c>
      <c r="D10" s="41"/>
      <c r="E10" s="235"/>
      <c r="F10" s="235"/>
      <c r="G10" s="153"/>
      <c r="H10" s="97"/>
      <c r="L10" s="75"/>
    </row>
    <row r="11" spans="1:16">
      <c r="A11" s="276"/>
      <c r="B11" s="186"/>
      <c r="C11" s="5"/>
      <c r="D11" s="148" t="s">
        <v>77</v>
      </c>
      <c r="E11" s="240"/>
      <c r="F11" s="240"/>
      <c r="G11" s="150"/>
      <c r="H11" s="93"/>
      <c r="L11" s="75"/>
    </row>
    <row r="12" spans="1:16" ht="12.75" customHeight="1">
      <c r="A12" s="22">
        <v>5</v>
      </c>
      <c r="B12" s="23" t="s">
        <v>7</v>
      </c>
      <c r="C12" s="34" t="s">
        <v>13</v>
      </c>
      <c r="D12" s="43"/>
      <c r="E12" s="235"/>
      <c r="F12" s="235"/>
      <c r="G12" s="167"/>
      <c r="H12" s="31"/>
      <c r="L12" s="143"/>
      <c r="M12" s="131"/>
      <c r="N12" s="124"/>
      <c r="O12" s="146"/>
      <c r="P12" s="144"/>
    </row>
    <row r="13" spans="1:16" ht="24.75">
      <c r="A13" s="276"/>
      <c r="B13" s="186"/>
      <c r="C13" s="189"/>
      <c r="D13" s="147" t="s">
        <v>146</v>
      </c>
      <c r="E13" s="229">
        <f>3+43+8.5+8.5+12+13+25+12+10+7</f>
        <v>142</v>
      </c>
      <c r="F13" s="229" t="s">
        <v>101</v>
      </c>
      <c r="G13" s="166">
        <f>E13*530</f>
        <v>75260</v>
      </c>
      <c r="H13" s="89" t="s">
        <v>147</v>
      </c>
      <c r="I13" s="137"/>
      <c r="L13" s="143"/>
      <c r="N13" s="144"/>
      <c r="O13" s="145"/>
    </row>
    <row r="14" spans="1:16" ht="12.75" customHeight="1">
      <c r="A14" s="22">
        <v>6</v>
      </c>
      <c r="B14" s="23" t="s">
        <v>7</v>
      </c>
      <c r="C14" s="34" t="s">
        <v>14</v>
      </c>
      <c r="D14" s="44"/>
      <c r="E14" s="236"/>
      <c r="F14" s="236"/>
      <c r="G14" s="167"/>
      <c r="H14" s="39"/>
    </row>
    <row r="15" spans="1:16" ht="12.75" customHeight="1">
      <c r="A15" s="276"/>
      <c r="B15" s="186"/>
      <c r="C15" s="5"/>
      <c r="D15" s="147" t="s">
        <v>102</v>
      </c>
      <c r="E15" s="229">
        <f>14+39+27</f>
        <v>80</v>
      </c>
      <c r="F15" s="229" t="s">
        <v>101</v>
      </c>
      <c r="G15" s="166">
        <f>E15*530</f>
        <v>42400</v>
      </c>
      <c r="H15" s="66"/>
      <c r="I15" s="136"/>
    </row>
    <row r="16" spans="1:16" ht="12.75" customHeight="1">
      <c r="A16" s="22">
        <v>7</v>
      </c>
      <c r="B16" s="23" t="s">
        <v>7</v>
      </c>
      <c r="C16" s="34" t="s">
        <v>15</v>
      </c>
      <c r="D16" s="43"/>
      <c r="E16" s="235"/>
      <c r="F16" s="235"/>
      <c r="G16" s="167"/>
      <c r="H16" s="40"/>
    </row>
    <row r="17" spans="1:11" ht="12.75" customHeight="1">
      <c r="A17" s="276"/>
      <c r="B17" s="186"/>
      <c r="C17" s="5"/>
      <c r="D17" s="126" t="s">
        <v>86</v>
      </c>
      <c r="E17" s="233">
        <v>12</v>
      </c>
      <c r="F17" s="233" t="s">
        <v>101</v>
      </c>
      <c r="G17" s="166">
        <f>E17*530</f>
        <v>6360</v>
      </c>
      <c r="H17" s="16"/>
      <c r="I17" s="136"/>
    </row>
    <row r="18" spans="1:11" ht="12.75" customHeight="1">
      <c r="A18" s="22">
        <v>8</v>
      </c>
      <c r="B18" s="23" t="s">
        <v>7</v>
      </c>
      <c r="C18" s="34" t="s">
        <v>16</v>
      </c>
      <c r="D18" s="43"/>
      <c r="E18" s="235"/>
      <c r="F18" s="235"/>
      <c r="G18" s="167"/>
      <c r="H18" s="39"/>
    </row>
    <row r="19" spans="1:11">
      <c r="A19" s="276"/>
      <c r="B19" s="186"/>
      <c r="C19" s="189"/>
      <c r="D19" s="147" t="s">
        <v>162</v>
      </c>
      <c r="E19" s="229">
        <f>20+11</f>
        <v>31</v>
      </c>
      <c r="F19" s="229" t="s">
        <v>101</v>
      </c>
      <c r="G19" s="166">
        <f>E19*530</f>
        <v>16430</v>
      </c>
      <c r="H19" s="91"/>
      <c r="I19" s="136"/>
    </row>
    <row r="20" spans="1:11" ht="12.75" customHeight="1">
      <c r="A20" s="21">
        <v>9</v>
      </c>
      <c r="B20" s="35" t="s">
        <v>7</v>
      </c>
      <c r="C20" s="36" t="s">
        <v>17</v>
      </c>
      <c r="D20" s="48"/>
      <c r="E20" s="237"/>
      <c r="F20" s="237"/>
      <c r="G20" s="167"/>
      <c r="H20" s="39"/>
    </row>
    <row r="21" spans="1:11">
      <c r="A21" s="59"/>
      <c r="B21" s="186"/>
      <c r="C21" s="191"/>
      <c r="D21" s="147" t="s">
        <v>77</v>
      </c>
      <c r="E21" s="229"/>
      <c r="F21" s="229"/>
      <c r="G21" s="150"/>
      <c r="H21" s="276"/>
      <c r="I21" s="136"/>
    </row>
    <row r="22" spans="1:11" ht="12.75" customHeight="1">
      <c r="A22" s="49">
        <v>10</v>
      </c>
      <c r="B22" s="50" t="s">
        <v>18</v>
      </c>
      <c r="C22" s="34" t="s">
        <v>19</v>
      </c>
      <c r="D22" s="51"/>
      <c r="E22" s="238"/>
      <c r="F22" s="238"/>
      <c r="G22" s="168"/>
      <c r="H22" s="39"/>
    </row>
    <row r="23" spans="1:11" ht="15" customHeight="1">
      <c r="A23" s="8"/>
      <c r="B23" s="186"/>
      <c r="C23" s="5"/>
      <c r="D23" s="148" t="s">
        <v>184</v>
      </c>
      <c r="E23" s="240">
        <v>6</v>
      </c>
      <c r="F23" s="240" t="s">
        <v>107</v>
      </c>
      <c r="G23" s="166">
        <f>E23*530</f>
        <v>3180</v>
      </c>
      <c r="H23" s="89"/>
      <c r="I23" s="209"/>
      <c r="J23" s="210"/>
      <c r="K23" s="211"/>
    </row>
    <row r="24" spans="1:11" ht="12.75" customHeight="1">
      <c r="A24" s="22">
        <v>11</v>
      </c>
      <c r="B24" s="23" t="s">
        <v>18</v>
      </c>
      <c r="C24" s="24" t="s">
        <v>20</v>
      </c>
      <c r="D24" s="53"/>
      <c r="E24" s="239"/>
      <c r="F24" s="239"/>
      <c r="G24" s="168"/>
      <c r="H24" s="52"/>
    </row>
    <row r="25" spans="1:11">
      <c r="A25" s="276"/>
      <c r="B25" s="186"/>
      <c r="C25" s="17"/>
      <c r="D25" s="148" t="s">
        <v>124</v>
      </c>
      <c r="E25" s="240">
        <f>28</f>
        <v>28</v>
      </c>
      <c r="F25" s="240" t="s">
        <v>101</v>
      </c>
      <c r="G25" s="166">
        <f>E25*530</f>
        <v>14840</v>
      </c>
      <c r="H25" s="91"/>
    </row>
    <row r="26" spans="1:11" ht="12.75" customHeight="1">
      <c r="A26" s="22">
        <v>12</v>
      </c>
      <c r="B26" s="23" t="s">
        <v>21</v>
      </c>
      <c r="C26" s="24">
        <v>9</v>
      </c>
      <c r="D26" s="54"/>
      <c r="E26" s="239"/>
      <c r="F26" s="239"/>
      <c r="G26" s="157"/>
      <c r="H26" s="39"/>
    </row>
    <row r="27" spans="1:11">
      <c r="A27" s="29"/>
      <c r="B27" s="186"/>
      <c r="C27" s="197"/>
      <c r="D27" s="148" t="s">
        <v>178</v>
      </c>
      <c r="E27" s="240">
        <f>46+20</f>
        <v>66</v>
      </c>
      <c r="F27" s="240" t="s">
        <v>101</v>
      </c>
      <c r="G27" s="166">
        <f>E27*530</f>
        <v>34980</v>
      </c>
      <c r="H27" s="91"/>
    </row>
    <row r="28" spans="1:11" ht="12.75" customHeight="1">
      <c r="A28" s="22">
        <v>13</v>
      </c>
      <c r="B28" s="23" t="s">
        <v>21</v>
      </c>
      <c r="C28" s="24" t="s">
        <v>22</v>
      </c>
      <c r="D28" s="54"/>
      <c r="E28" s="239"/>
      <c r="F28" s="239"/>
      <c r="G28" s="157"/>
      <c r="H28" s="39"/>
    </row>
    <row r="29" spans="1:11">
      <c r="A29" s="276"/>
      <c r="B29" s="186"/>
      <c r="C29" s="277"/>
      <c r="D29" s="148" t="s">
        <v>143</v>
      </c>
      <c r="E29" s="240">
        <f>18+43</f>
        <v>61</v>
      </c>
      <c r="F29" s="240" t="s">
        <v>101</v>
      </c>
      <c r="G29" s="166">
        <f>E29*530</f>
        <v>32330</v>
      </c>
      <c r="H29" s="89" t="s">
        <v>144</v>
      </c>
    </row>
    <row r="30" spans="1:11" ht="12.75" customHeight="1">
      <c r="A30" s="22">
        <v>14</v>
      </c>
      <c r="B30" s="23" t="s">
        <v>21</v>
      </c>
      <c r="C30" s="24" t="s">
        <v>23</v>
      </c>
      <c r="D30" s="54"/>
      <c r="E30" s="239"/>
      <c r="F30" s="239"/>
      <c r="G30" s="157"/>
      <c r="H30" s="39"/>
    </row>
    <row r="31" spans="1:11" ht="12.75" customHeight="1">
      <c r="A31" s="276"/>
      <c r="B31" s="186"/>
      <c r="C31" s="17"/>
      <c r="D31" s="148" t="s">
        <v>198</v>
      </c>
      <c r="E31" s="240">
        <f>24+16+22+18.3+8.2</f>
        <v>88.5</v>
      </c>
      <c r="F31" s="240" t="s">
        <v>101</v>
      </c>
      <c r="G31" s="166">
        <f>E31*530</f>
        <v>46905</v>
      </c>
      <c r="H31" s="343" t="s">
        <v>84</v>
      </c>
      <c r="I31" s="344"/>
    </row>
    <row r="32" spans="1:11" ht="12.75" customHeight="1">
      <c r="A32" s="22">
        <v>15</v>
      </c>
      <c r="B32" s="23" t="s">
        <v>21</v>
      </c>
      <c r="C32" s="24" t="s">
        <v>19</v>
      </c>
      <c r="D32" s="54"/>
      <c r="E32" s="239"/>
      <c r="F32" s="239"/>
      <c r="G32" s="157"/>
      <c r="H32" s="39"/>
    </row>
    <row r="33" spans="1:11" ht="15" customHeight="1">
      <c r="A33" s="29"/>
      <c r="B33" s="186"/>
      <c r="C33" s="30"/>
      <c r="D33" s="148" t="s">
        <v>80</v>
      </c>
      <c r="E33" s="240"/>
      <c r="F33" s="240"/>
      <c r="G33" s="166"/>
      <c r="H33" s="91"/>
      <c r="I33" s="326"/>
      <c r="J33" s="327"/>
      <c r="K33" s="327"/>
    </row>
    <row r="34" spans="1:11" ht="12.75" customHeight="1">
      <c r="A34" s="22">
        <v>16</v>
      </c>
      <c r="B34" s="23" t="s">
        <v>21</v>
      </c>
      <c r="C34" s="24" t="s">
        <v>24</v>
      </c>
      <c r="D34" s="54"/>
      <c r="E34" s="239"/>
      <c r="F34" s="239"/>
      <c r="G34" s="157"/>
      <c r="H34" s="39"/>
    </row>
    <row r="35" spans="1:11">
      <c r="A35" s="276"/>
      <c r="B35" s="33"/>
      <c r="C35" s="277"/>
      <c r="D35" s="148" t="s">
        <v>77</v>
      </c>
      <c r="E35" s="240"/>
      <c r="F35" s="240"/>
      <c r="G35" s="150"/>
      <c r="H35" s="91"/>
    </row>
    <row r="36" spans="1:11" ht="12.75" customHeight="1">
      <c r="A36" s="22">
        <v>17</v>
      </c>
      <c r="B36" s="23" t="s">
        <v>21</v>
      </c>
      <c r="C36" s="24" t="s">
        <v>25</v>
      </c>
      <c r="D36" s="54"/>
      <c r="E36" s="239"/>
      <c r="F36" s="239"/>
      <c r="G36" s="157"/>
      <c r="H36" s="39"/>
    </row>
    <row r="37" spans="1:11">
      <c r="A37" s="276"/>
      <c r="B37" s="33"/>
      <c r="C37" s="277"/>
      <c r="D37" s="148" t="s">
        <v>77</v>
      </c>
      <c r="E37" s="240"/>
      <c r="F37" s="240"/>
      <c r="G37" s="150"/>
      <c r="H37" s="91"/>
    </row>
    <row r="38" spans="1:11" ht="12.75" customHeight="1">
      <c r="A38" s="22">
        <v>18</v>
      </c>
      <c r="B38" s="23" t="s">
        <v>21</v>
      </c>
      <c r="C38" s="24" t="s">
        <v>26</v>
      </c>
      <c r="D38" s="54"/>
      <c r="E38" s="239"/>
      <c r="F38" s="239"/>
      <c r="G38" s="157"/>
      <c r="H38" s="39"/>
    </row>
    <row r="39" spans="1:11">
      <c r="A39" s="276"/>
      <c r="B39" s="186"/>
      <c r="C39" s="17"/>
      <c r="D39" s="148" t="s">
        <v>77</v>
      </c>
      <c r="E39" s="240"/>
      <c r="F39" s="240"/>
      <c r="G39" s="150"/>
      <c r="H39" s="91"/>
    </row>
    <row r="40" spans="1:11" ht="12.75" customHeight="1">
      <c r="A40" s="22">
        <v>19</v>
      </c>
      <c r="B40" s="23" t="s">
        <v>21</v>
      </c>
      <c r="C40" s="24" t="s">
        <v>27</v>
      </c>
      <c r="D40" s="55"/>
      <c r="E40" s="248"/>
      <c r="F40" s="248"/>
      <c r="G40" s="157"/>
      <c r="H40" s="39"/>
    </row>
    <row r="41" spans="1:11">
      <c r="A41" s="276"/>
      <c r="B41" s="186"/>
      <c r="C41" s="277"/>
      <c r="D41" s="148" t="s">
        <v>110</v>
      </c>
      <c r="E41" s="240">
        <v>4.8</v>
      </c>
      <c r="F41" s="240" t="s">
        <v>101</v>
      </c>
      <c r="G41" s="166">
        <f>E41*530</f>
        <v>2544</v>
      </c>
      <c r="H41" s="91"/>
    </row>
    <row r="42" spans="1:11" ht="12.75" customHeight="1">
      <c r="A42" s="22">
        <v>20</v>
      </c>
      <c r="B42" s="23" t="s">
        <v>28</v>
      </c>
      <c r="C42" s="24" t="s">
        <v>29</v>
      </c>
      <c r="D42" s="54"/>
      <c r="E42" s="239"/>
      <c r="F42" s="239"/>
      <c r="G42" s="157"/>
      <c r="H42" s="39"/>
    </row>
    <row r="43" spans="1:11">
      <c r="A43" s="29"/>
      <c r="B43" s="186"/>
      <c r="C43" s="30"/>
      <c r="D43" s="147" t="s">
        <v>77</v>
      </c>
      <c r="E43" s="229"/>
      <c r="F43" s="229"/>
      <c r="G43" s="150"/>
      <c r="H43" s="91"/>
      <c r="I43" s="136"/>
    </row>
    <row r="44" spans="1:11" ht="12.75" customHeight="1">
      <c r="A44" s="22">
        <v>21</v>
      </c>
      <c r="B44" s="23" t="s">
        <v>28</v>
      </c>
      <c r="C44" s="24" t="s">
        <v>24</v>
      </c>
      <c r="D44" s="41"/>
      <c r="E44" s="235"/>
      <c r="F44" s="235"/>
      <c r="G44" s="160"/>
      <c r="H44" s="39"/>
    </row>
    <row r="45" spans="1:11">
      <c r="A45" s="276"/>
      <c r="B45" s="186"/>
      <c r="C45" s="17"/>
      <c r="D45" s="148" t="s">
        <v>100</v>
      </c>
      <c r="E45" s="240">
        <f>15+20</f>
        <v>35</v>
      </c>
      <c r="F45" s="240" t="s">
        <v>101</v>
      </c>
      <c r="G45" s="166">
        <f>E45*530</f>
        <v>18550</v>
      </c>
      <c r="H45" s="91"/>
      <c r="I45" s="95"/>
      <c r="J45" s="95"/>
    </row>
    <row r="46" spans="1:11" ht="12.75" customHeight="1">
      <c r="A46" s="22">
        <v>22</v>
      </c>
      <c r="B46" s="23" t="s">
        <v>28</v>
      </c>
      <c r="C46" s="24" t="s">
        <v>25</v>
      </c>
      <c r="D46" s="41"/>
      <c r="E46" s="235"/>
      <c r="F46" s="235"/>
      <c r="G46" s="160"/>
      <c r="H46" s="22"/>
    </row>
    <row r="47" spans="1:11">
      <c r="A47" s="276"/>
      <c r="B47" s="186"/>
      <c r="C47" s="277"/>
      <c r="D47" s="148" t="s">
        <v>145</v>
      </c>
      <c r="E47" s="240">
        <f>18+24.5+9</f>
        <v>51.5</v>
      </c>
      <c r="F47" s="240" t="s">
        <v>101</v>
      </c>
      <c r="G47" s="166">
        <f>E47*530</f>
        <v>27295</v>
      </c>
      <c r="H47" s="91"/>
    </row>
    <row r="48" spans="1:11" ht="12.75" customHeight="1">
      <c r="A48" s="22">
        <v>23</v>
      </c>
      <c r="B48" s="23" t="s">
        <v>30</v>
      </c>
      <c r="C48" s="24" t="s">
        <v>31</v>
      </c>
      <c r="D48" s="41"/>
      <c r="E48" s="235"/>
      <c r="F48" s="235"/>
      <c r="G48" s="160"/>
      <c r="H48" s="22"/>
    </row>
    <row r="49" spans="1:15" ht="12.75" customHeight="1">
      <c r="A49" s="276"/>
      <c r="B49" s="186"/>
      <c r="C49" s="277"/>
      <c r="D49" s="148" t="s">
        <v>77</v>
      </c>
      <c r="E49" s="240"/>
      <c r="F49" s="240"/>
      <c r="G49" s="150"/>
      <c r="H49" s="91"/>
    </row>
    <row r="50" spans="1:15" ht="12.75" customHeight="1">
      <c r="A50" s="22">
        <v>24</v>
      </c>
      <c r="B50" s="31" t="s">
        <v>30</v>
      </c>
      <c r="C50" s="24" t="s">
        <v>32</v>
      </c>
      <c r="D50" s="56"/>
      <c r="E50" s="236"/>
      <c r="F50" s="236"/>
      <c r="G50" s="160"/>
      <c r="H50" s="22"/>
    </row>
    <row r="51" spans="1:15" ht="24">
      <c r="A51" s="276"/>
      <c r="B51" s="186"/>
      <c r="C51" s="277"/>
      <c r="D51" s="148" t="s">
        <v>203</v>
      </c>
      <c r="E51" s="240">
        <f>4+16+7+6+11+4+31+48</f>
        <v>127</v>
      </c>
      <c r="F51" s="240" t="s">
        <v>101</v>
      </c>
      <c r="G51" s="166">
        <f>E51*530</f>
        <v>67310</v>
      </c>
      <c r="H51" s="91"/>
    </row>
    <row r="52" spans="1:15" ht="12.75" customHeight="1">
      <c r="A52" s="22">
        <v>25</v>
      </c>
      <c r="B52" s="31" t="s">
        <v>30</v>
      </c>
      <c r="C52" s="24" t="s">
        <v>33</v>
      </c>
      <c r="D52" s="56"/>
      <c r="E52" s="236"/>
      <c r="F52" s="236"/>
      <c r="G52" s="160"/>
      <c r="H52" s="22"/>
    </row>
    <row r="53" spans="1:15" s="107" customFormat="1">
      <c r="A53" s="222"/>
      <c r="B53" s="212"/>
      <c r="C53" s="223"/>
      <c r="D53" s="148" t="s">
        <v>77</v>
      </c>
      <c r="E53" s="240"/>
      <c r="F53" s="240"/>
      <c r="G53" s="158"/>
      <c r="H53" s="93"/>
      <c r="O53" s="129"/>
    </row>
    <row r="54" spans="1:15" ht="12.75" customHeight="1">
      <c r="A54" s="22">
        <v>26</v>
      </c>
      <c r="B54" s="31" t="s">
        <v>30</v>
      </c>
      <c r="C54" s="24" t="s">
        <v>34</v>
      </c>
      <c r="D54" s="56"/>
      <c r="E54" s="236"/>
      <c r="F54" s="236"/>
      <c r="G54" s="160"/>
      <c r="H54" s="22"/>
    </row>
    <row r="55" spans="1:15">
      <c r="A55" s="276"/>
      <c r="B55" s="186"/>
      <c r="C55" s="277"/>
      <c r="D55" s="148" t="s">
        <v>98</v>
      </c>
      <c r="E55" s="240">
        <f>4</f>
        <v>4</v>
      </c>
      <c r="F55" s="240"/>
      <c r="G55" s="166">
        <f>E55*530</f>
        <v>2120</v>
      </c>
      <c r="H55" s="91"/>
    </row>
    <row r="56" spans="1:15" ht="12.75" customHeight="1">
      <c r="A56" s="22">
        <v>27</v>
      </c>
      <c r="B56" s="31" t="s">
        <v>30</v>
      </c>
      <c r="C56" s="24" t="s">
        <v>35</v>
      </c>
      <c r="D56" s="56"/>
      <c r="E56" s="236"/>
      <c r="F56" s="236"/>
      <c r="G56" s="160"/>
      <c r="H56" s="22"/>
    </row>
    <row r="57" spans="1:15">
      <c r="A57" s="276"/>
      <c r="B57" s="186"/>
      <c r="C57" s="277"/>
      <c r="D57" s="148" t="s">
        <v>142</v>
      </c>
      <c r="E57" s="240">
        <v>5</v>
      </c>
      <c r="F57" s="240" t="s">
        <v>101</v>
      </c>
      <c r="G57" s="166">
        <f>E57*530</f>
        <v>2650</v>
      </c>
      <c r="H57" s="91"/>
    </row>
    <row r="58" spans="1:15" ht="12.75" customHeight="1">
      <c r="A58" s="22">
        <v>28</v>
      </c>
      <c r="B58" s="31" t="s">
        <v>30</v>
      </c>
      <c r="C58" s="24" t="s">
        <v>36</v>
      </c>
      <c r="D58" s="56"/>
      <c r="E58" s="236"/>
      <c r="F58" s="236"/>
      <c r="G58" s="160"/>
      <c r="H58" s="22"/>
    </row>
    <row r="59" spans="1:15">
      <c r="A59" s="276"/>
      <c r="B59" s="186"/>
      <c r="C59" s="277"/>
      <c r="D59" s="148" t="s">
        <v>106</v>
      </c>
      <c r="E59" s="240">
        <f>18+28+9+14</f>
        <v>69</v>
      </c>
      <c r="F59" s="240" t="s">
        <v>101</v>
      </c>
      <c r="G59" s="166">
        <f>E59*530</f>
        <v>36570</v>
      </c>
      <c r="H59" s="91"/>
      <c r="I59" s="94"/>
      <c r="J59" s="94"/>
    </row>
    <row r="60" spans="1:15" ht="12.75" customHeight="1">
      <c r="E60" s="266">
        <f>SUM(E5:E59)</f>
        <v>872.8</v>
      </c>
      <c r="G60" s="169">
        <f>SUM(G5:G59)</f>
        <v>462584</v>
      </c>
    </row>
    <row r="61" spans="1:15" ht="12.75" customHeight="1"/>
    <row r="62" spans="1:15" ht="12.75" customHeight="1"/>
    <row r="63" spans="1:15" ht="12.75" customHeight="1"/>
    <row r="64" spans="1:1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</sheetData>
  <mergeCells count="7">
    <mergeCell ref="D2:G2"/>
    <mergeCell ref="H2:H3"/>
    <mergeCell ref="H31:I31"/>
    <mergeCell ref="I33:K33"/>
    <mergeCell ref="A2:A3"/>
    <mergeCell ref="B2:B3"/>
    <mergeCell ref="C2:C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14"/>
  <sheetViews>
    <sheetView view="pageBreakPreview" zoomScale="130" zoomScaleNormal="100" zoomScaleSheetLayoutView="130" workbookViewId="0">
      <selection activeCell="H10" sqref="H10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13.7109375" style="169" bestFit="1" customWidth="1"/>
    <col min="8" max="8" width="12.7109375" bestFit="1" customWidth="1"/>
    <col min="9" max="9" width="11.140625" customWidth="1"/>
    <col min="11" max="11" width="9.28515625" bestFit="1" customWidth="1"/>
    <col min="12" max="12" width="18.7109375" customWidth="1"/>
    <col min="13" max="13" width="28.5703125" customWidth="1"/>
    <col min="14" max="14" width="10" style="76" bestFit="1" customWidth="1"/>
    <col min="15" max="15" width="29.42578125" customWidth="1"/>
    <col min="16" max="16" width="9.28515625" bestFit="1" customWidth="1"/>
  </cols>
  <sheetData>
    <row r="1" spans="1:14" ht="29.25" customHeight="1">
      <c r="A1" s="345" t="s">
        <v>196</v>
      </c>
      <c r="B1" s="346"/>
      <c r="C1" s="346"/>
      <c r="D1" s="346"/>
      <c r="E1" s="346"/>
      <c r="F1" s="346"/>
      <c r="G1" s="346"/>
    </row>
    <row r="2" spans="1:14" ht="15" customHeight="1">
      <c r="A2" s="321" t="s">
        <v>0</v>
      </c>
      <c r="B2" s="321" t="s">
        <v>1</v>
      </c>
      <c r="C2" s="322" t="s">
        <v>2</v>
      </c>
      <c r="D2" s="325" t="s">
        <v>62</v>
      </c>
      <c r="E2" s="325"/>
      <c r="F2" s="325"/>
      <c r="G2" s="325"/>
    </row>
    <row r="3" spans="1:14" ht="24.75">
      <c r="A3" s="321"/>
      <c r="B3" s="321"/>
      <c r="C3" s="322"/>
      <c r="D3" s="271" t="s">
        <v>61</v>
      </c>
      <c r="E3" s="8" t="s">
        <v>91</v>
      </c>
      <c r="F3" s="8" t="s">
        <v>95</v>
      </c>
      <c r="G3" s="150" t="s">
        <v>6</v>
      </c>
    </row>
    <row r="4" spans="1:14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151"/>
    </row>
    <row r="5" spans="1:14">
      <c r="A5" s="32"/>
      <c r="B5" s="186"/>
      <c r="C5" s="187"/>
      <c r="D5" s="67" t="s">
        <v>92</v>
      </c>
      <c r="E5" s="249">
        <v>1</v>
      </c>
      <c r="F5" s="249" t="s">
        <v>97</v>
      </c>
      <c r="G5" s="150">
        <f>40000</f>
        <v>40000</v>
      </c>
      <c r="H5" s="326"/>
      <c r="I5" s="327"/>
      <c r="J5" s="202"/>
      <c r="L5" s="107"/>
      <c r="M5" s="75"/>
    </row>
    <row r="6" spans="1:14">
      <c r="A6" s="32"/>
      <c r="B6" s="186"/>
      <c r="C6" s="187"/>
      <c r="D6" s="67" t="s">
        <v>197</v>
      </c>
      <c r="E6" s="249">
        <f>23+14+10</f>
        <v>47</v>
      </c>
      <c r="F6" s="249" t="s">
        <v>101</v>
      </c>
      <c r="G6" s="150">
        <f>E6*550</f>
        <v>25850</v>
      </c>
      <c r="H6" s="180"/>
      <c r="I6" s="180"/>
      <c r="L6" s="107"/>
      <c r="M6" s="75"/>
    </row>
    <row r="7" spans="1:14">
      <c r="A7" s="32"/>
      <c r="B7" s="186"/>
      <c r="C7" s="187"/>
      <c r="D7" s="67" t="s">
        <v>111</v>
      </c>
      <c r="E7" s="249">
        <v>1</v>
      </c>
      <c r="F7" s="249" t="s">
        <v>125</v>
      </c>
      <c r="G7" s="150">
        <f>31622*1.18</f>
        <v>37313.96</v>
      </c>
      <c r="H7" s="180"/>
      <c r="I7" s="180"/>
      <c r="L7" s="107"/>
      <c r="M7" s="75"/>
    </row>
    <row r="8" spans="1:14" ht="12.75" customHeight="1">
      <c r="A8" s="22">
        <v>2</v>
      </c>
      <c r="B8" s="23" t="s">
        <v>7</v>
      </c>
      <c r="C8" s="24">
        <v>4</v>
      </c>
      <c r="D8" s="38"/>
      <c r="E8" s="237"/>
      <c r="F8" s="237"/>
      <c r="G8" s="153"/>
      <c r="K8" s="76"/>
      <c r="L8" s="142"/>
      <c r="M8" s="132"/>
      <c r="N8" s="128"/>
    </row>
    <row r="9" spans="1:14">
      <c r="A9" s="271"/>
      <c r="B9" s="186"/>
      <c r="C9" s="272"/>
      <c r="D9" s="67" t="s">
        <v>132</v>
      </c>
      <c r="E9" s="249">
        <v>15</v>
      </c>
      <c r="F9" s="249" t="s">
        <v>101</v>
      </c>
      <c r="G9" s="150">
        <f>E9*550</f>
        <v>8250</v>
      </c>
      <c r="K9" s="76"/>
      <c r="L9" s="142"/>
      <c r="M9" s="131"/>
      <c r="N9" s="128"/>
    </row>
    <row r="10" spans="1:14">
      <c r="A10" s="271"/>
      <c r="B10" s="186"/>
      <c r="C10" s="272"/>
      <c r="D10" s="67" t="s">
        <v>152</v>
      </c>
      <c r="E10" s="249">
        <v>2</v>
      </c>
      <c r="F10" s="249" t="s">
        <v>97</v>
      </c>
      <c r="G10" s="150">
        <v>60000</v>
      </c>
      <c r="K10" s="76"/>
      <c r="L10" s="142"/>
      <c r="M10" s="131"/>
      <c r="N10" s="128"/>
    </row>
    <row r="11" spans="1:14" s="107" customFormat="1">
      <c r="A11" s="222"/>
      <c r="B11" s="212"/>
      <c r="C11" s="223"/>
      <c r="D11" s="67" t="s">
        <v>72</v>
      </c>
      <c r="E11" s="249">
        <v>1</v>
      </c>
      <c r="F11" s="249" t="s">
        <v>97</v>
      </c>
      <c r="G11" s="158">
        <v>10000</v>
      </c>
      <c r="K11" s="129"/>
      <c r="L11" s="142"/>
      <c r="M11" s="224"/>
      <c r="N11" s="225"/>
    </row>
    <row r="12" spans="1:14" ht="12.75" customHeight="1">
      <c r="A12" s="271"/>
      <c r="B12" s="188"/>
      <c r="C12" s="17"/>
      <c r="D12" s="25" t="s">
        <v>168</v>
      </c>
      <c r="E12" s="234">
        <v>4</v>
      </c>
      <c r="F12" s="234" t="s">
        <v>97</v>
      </c>
      <c r="G12" s="154">
        <v>10000</v>
      </c>
      <c r="K12" s="76"/>
      <c r="L12" s="124"/>
      <c r="M12" s="131"/>
      <c r="N12" s="133"/>
    </row>
    <row r="13" spans="1:14" ht="12.75" customHeight="1">
      <c r="A13" s="68">
        <v>3</v>
      </c>
      <c r="B13" s="69" t="s">
        <v>7</v>
      </c>
      <c r="C13" s="70" t="s">
        <v>10</v>
      </c>
      <c r="D13" s="72"/>
      <c r="E13" s="243"/>
      <c r="F13" s="243"/>
      <c r="G13" s="155"/>
      <c r="K13" s="76"/>
      <c r="L13" s="124"/>
      <c r="M13" s="131"/>
      <c r="N13" s="128"/>
    </row>
    <row r="14" spans="1:14" ht="12.75" customHeight="1">
      <c r="A14" s="271"/>
      <c r="B14" s="188"/>
      <c r="C14" s="17"/>
      <c r="D14" s="25" t="s">
        <v>134</v>
      </c>
      <c r="E14" s="234">
        <v>21</v>
      </c>
      <c r="F14" s="234" t="s">
        <v>97</v>
      </c>
      <c r="G14" s="154">
        <f>14642.67*1.18</f>
        <v>17278.350599999998</v>
      </c>
      <c r="K14" s="76"/>
      <c r="M14" s="131"/>
    </row>
    <row r="15" spans="1:14" ht="12.75" customHeight="1">
      <c r="A15" s="271"/>
      <c r="B15" s="188"/>
      <c r="C15" s="17"/>
      <c r="D15" s="25" t="s">
        <v>93</v>
      </c>
      <c r="E15" s="244">
        <v>1</v>
      </c>
      <c r="F15" s="234" t="s">
        <v>97</v>
      </c>
      <c r="G15" s="154">
        <f>1600*1.18</f>
        <v>1888</v>
      </c>
      <c r="K15" s="76"/>
      <c r="M15" s="131"/>
    </row>
    <row r="16" spans="1:14" ht="12.75" customHeight="1">
      <c r="A16" s="271"/>
      <c r="B16" s="188"/>
      <c r="C16" s="17"/>
      <c r="D16" s="25" t="s">
        <v>135</v>
      </c>
      <c r="E16" s="245">
        <v>1</v>
      </c>
      <c r="F16" s="234" t="s">
        <v>97</v>
      </c>
      <c r="G16" s="154">
        <v>30000</v>
      </c>
      <c r="K16" s="76"/>
      <c r="M16" s="131"/>
    </row>
    <row r="17" spans="1:15" ht="12.75" customHeight="1">
      <c r="A17" s="22">
        <v>4</v>
      </c>
      <c r="B17" s="23" t="s">
        <v>7</v>
      </c>
      <c r="C17" s="34" t="s">
        <v>12</v>
      </c>
      <c r="D17" s="41"/>
      <c r="E17" s="235"/>
      <c r="F17" s="235"/>
      <c r="G17" s="153"/>
      <c r="K17" s="75"/>
    </row>
    <row r="18" spans="1:15" ht="12.75" customHeight="1">
      <c r="A18" s="271"/>
      <c r="B18" s="188"/>
      <c r="C18" s="189"/>
      <c r="D18" s="19" t="s">
        <v>180</v>
      </c>
      <c r="E18" s="234">
        <v>2</v>
      </c>
      <c r="F18" s="234" t="s">
        <v>125</v>
      </c>
      <c r="G18" s="150">
        <f>2500*1.18*2</f>
        <v>5900</v>
      </c>
      <c r="K18" s="75"/>
      <c r="M18" s="135"/>
    </row>
    <row r="19" spans="1:15" ht="12.75" customHeight="1">
      <c r="A19" s="271"/>
      <c r="B19" s="188"/>
      <c r="C19" s="189"/>
      <c r="D19" s="19" t="s">
        <v>181</v>
      </c>
      <c r="E19" s="234">
        <v>2</v>
      </c>
      <c r="F19" s="234" t="s">
        <v>97</v>
      </c>
      <c r="G19" s="150">
        <f>2250*1.18*2</f>
        <v>5310</v>
      </c>
      <c r="K19" s="75"/>
      <c r="M19" s="135"/>
    </row>
    <row r="20" spans="1:15" ht="12.75" customHeight="1">
      <c r="A20" s="271"/>
      <c r="B20" s="188"/>
      <c r="C20" s="189"/>
      <c r="D20" s="19" t="s">
        <v>119</v>
      </c>
      <c r="E20" s="234">
        <v>2</v>
      </c>
      <c r="F20" s="234" t="s">
        <v>97</v>
      </c>
      <c r="G20" s="150">
        <f>2*33474.58*1.18</f>
        <v>79000.008799999996</v>
      </c>
      <c r="K20" s="75"/>
      <c r="M20" s="135"/>
    </row>
    <row r="21" spans="1:15" ht="12.75" customHeight="1">
      <c r="A21" s="22">
        <v>5</v>
      </c>
      <c r="B21" s="23" t="s">
        <v>7</v>
      </c>
      <c r="C21" s="34" t="s">
        <v>13</v>
      </c>
      <c r="D21" s="43"/>
      <c r="E21" s="235"/>
      <c r="F21" s="235"/>
      <c r="G21" s="167"/>
      <c r="K21" s="143"/>
      <c r="L21" s="131"/>
      <c r="M21" s="124"/>
      <c r="N21" s="146"/>
      <c r="O21" s="144"/>
    </row>
    <row r="22" spans="1:15" ht="24.75">
      <c r="A22" s="271"/>
      <c r="B22" s="186"/>
      <c r="C22" s="189"/>
      <c r="D22" s="256" t="s">
        <v>146</v>
      </c>
      <c r="E22" s="247">
        <f>3+43+8.5+8.5+12+13+25+12+10+7</f>
        <v>142</v>
      </c>
      <c r="F22" s="247" t="s">
        <v>101</v>
      </c>
      <c r="G22" s="150">
        <f>E22*550</f>
        <v>78100</v>
      </c>
      <c r="H22" s="137"/>
      <c r="K22" s="143"/>
      <c r="M22" s="144"/>
      <c r="N22" s="145"/>
    </row>
    <row r="23" spans="1:15" ht="12.75" customHeight="1">
      <c r="A23" s="271"/>
      <c r="B23" s="186"/>
      <c r="C23" s="189"/>
      <c r="D23" s="256" t="s">
        <v>190</v>
      </c>
      <c r="E23" s="247">
        <v>3</v>
      </c>
      <c r="F23" s="247" t="s">
        <v>97</v>
      </c>
      <c r="G23" s="150">
        <f>E23*7000</f>
        <v>21000</v>
      </c>
      <c r="K23" s="143"/>
      <c r="M23" s="144"/>
      <c r="N23" s="145"/>
    </row>
    <row r="24" spans="1:15" ht="12" customHeight="1">
      <c r="A24" s="271"/>
      <c r="B24" s="33"/>
      <c r="C24" s="5"/>
      <c r="D24" s="256" t="s">
        <v>172</v>
      </c>
      <c r="E24" s="247">
        <v>2</v>
      </c>
      <c r="F24" s="247" t="s">
        <v>126</v>
      </c>
      <c r="G24" s="150"/>
      <c r="K24" s="143"/>
    </row>
    <row r="25" spans="1:15" ht="12.75" customHeight="1">
      <c r="A25" s="271"/>
      <c r="B25" s="188"/>
      <c r="C25" s="189"/>
      <c r="D25" s="256" t="s">
        <v>121</v>
      </c>
      <c r="E25" s="247">
        <v>5</v>
      </c>
      <c r="F25" s="247" t="s">
        <v>97</v>
      </c>
      <c r="G25" s="154">
        <f>13500+4*10000</f>
        <v>53500</v>
      </c>
    </row>
    <row r="26" spans="1:15">
      <c r="A26" s="271"/>
      <c r="B26" s="188"/>
      <c r="C26" s="189"/>
      <c r="D26" s="67" t="s">
        <v>170</v>
      </c>
      <c r="E26" s="249">
        <v>7</v>
      </c>
      <c r="F26" s="249" t="s">
        <v>97</v>
      </c>
      <c r="G26" s="158">
        <f>7*697.27*1.18</f>
        <v>5759.4501999999993</v>
      </c>
    </row>
    <row r="27" spans="1:15" ht="12.75" customHeight="1">
      <c r="A27" s="22">
        <v>6</v>
      </c>
      <c r="B27" s="23" t="s">
        <v>7</v>
      </c>
      <c r="C27" s="34" t="s">
        <v>14</v>
      </c>
      <c r="D27" s="44"/>
      <c r="E27" s="236"/>
      <c r="F27" s="236"/>
      <c r="G27" s="167"/>
    </row>
    <row r="28" spans="1:15" ht="12.75" customHeight="1">
      <c r="A28" s="271"/>
      <c r="B28" s="186"/>
      <c r="C28" s="5"/>
      <c r="D28" s="256" t="s">
        <v>102</v>
      </c>
      <c r="E28" s="247">
        <f>14+39+27</f>
        <v>80</v>
      </c>
      <c r="F28" s="247" t="s">
        <v>101</v>
      </c>
      <c r="G28" s="150">
        <f>E28*550</f>
        <v>44000</v>
      </c>
      <c r="H28" s="136"/>
    </row>
    <row r="29" spans="1:15" ht="12.75" customHeight="1">
      <c r="A29" s="271"/>
      <c r="B29" s="186"/>
      <c r="C29" s="5"/>
      <c r="D29" s="256" t="s">
        <v>78</v>
      </c>
      <c r="E29" s="247">
        <v>1</v>
      </c>
      <c r="F29" s="247" t="s">
        <v>97</v>
      </c>
      <c r="G29" s="150">
        <v>10000</v>
      </c>
    </row>
    <row r="30" spans="1:15" ht="12.75" customHeight="1">
      <c r="A30" s="22">
        <v>7</v>
      </c>
      <c r="B30" s="23" t="s">
        <v>7</v>
      </c>
      <c r="C30" s="34" t="s">
        <v>15</v>
      </c>
      <c r="D30" s="43"/>
      <c r="E30" s="235"/>
      <c r="F30" s="235"/>
      <c r="G30" s="167"/>
    </row>
    <row r="31" spans="1:15" ht="12.75" customHeight="1">
      <c r="A31" s="271"/>
      <c r="B31" s="186"/>
      <c r="C31" s="5"/>
      <c r="D31" s="19" t="s">
        <v>86</v>
      </c>
      <c r="E31" s="234">
        <v>12</v>
      </c>
      <c r="F31" s="234" t="s">
        <v>101</v>
      </c>
      <c r="G31" s="150">
        <f>12*550</f>
        <v>6600</v>
      </c>
      <c r="H31" s="136"/>
    </row>
    <row r="32" spans="1:15" ht="12.75" customHeight="1">
      <c r="A32" s="271"/>
      <c r="B32" s="90"/>
      <c r="C32" s="190"/>
      <c r="D32" s="257" t="s">
        <v>136</v>
      </c>
      <c r="E32" s="234">
        <v>2</v>
      </c>
      <c r="F32" s="234" t="s">
        <v>97</v>
      </c>
      <c r="G32" s="158">
        <f>3700*2</f>
        <v>7400</v>
      </c>
    </row>
    <row r="33" spans="1:10" ht="12.75" customHeight="1">
      <c r="A33" s="22">
        <v>8</v>
      </c>
      <c r="B33" s="23" t="s">
        <v>7</v>
      </c>
      <c r="C33" s="34" t="s">
        <v>16</v>
      </c>
      <c r="D33" s="43"/>
      <c r="E33" s="235"/>
      <c r="F33" s="235"/>
      <c r="G33" s="167"/>
    </row>
    <row r="34" spans="1:10">
      <c r="A34" s="271"/>
      <c r="B34" s="186"/>
      <c r="C34" s="189"/>
      <c r="D34" s="256" t="s">
        <v>162</v>
      </c>
      <c r="E34" s="247">
        <f>20+11</f>
        <v>31</v>
      </c>
      <c r="F34" s="247" t="s">
        <v>101</v>
      </c>
      <c r="G34" s="150">
        <f>E34*550</f>
        <v>17050</v>
      </c>
      <c r="H34" s="136"/>
    </row>
    <row r="35" spans="1:10">
      <c r="A35" s="207"/>
      <c r="B35" s="33"/>
      <c r="C35" s="13"/>
      <c r="D35" s="19" t="s">
        <v>137</v>
      </c>
      <c r="E35" s="234">
        <v>1</v>
      </c>
      <c r="F35" s="234" t="s">
        <v>97</v>
      </c>
      <c r="G35" s="150">
        <v>7000</v>
      </c>
    </row>
    <row r="36" spans="1:10">
      <c r="A36" s="207"/>
      <c r="B36" s="90"/>
      <c r="C36" s="190"/>
      <c r="D36" s="25" t="s">
        <v>120</v>
      </c>
      <c r="E36" s="234">
        <v>1</v>
      </c>
      <c r="F36" s="234" t="s">
        <v>97</v>
      </c>
      <c r="G36" s="150">
        <f>197644*1.18</f>
        <v>233219.91999999998</v>
      </c>
    </row>
    <row r="37" spans="1:10" ht="12.75" customHeight="1">
      <c r="A37" s="207"/>
      <c r="B37" s="90"/>
      <c r="C37" s="190"/>
      <c r="D37" s="25" t="s">
        <v>134</v>
      </c>
      <c r="E37" s="234">
        <v>4</v>
      </c>
      <c r="F37" s="234" t="s">
        <v>97</v>
      </c>
      <c r="G37" s="150">
        <f>3341*1.18</f>
        <v>3942.3799999999997</v>
      </c>
    </row>
    <row r="38" spans="1:10" ht="12.75" customHeight="1">
      <c r="A38" s="21">
        <v>9</v>
      </c>
      <c r="B38" s="35" t="s">
        <v>7</v>
      </c>
      <c r="C38" s="36" t="s">
        <v>17</v>
      </c>
      <c r="D38" s="48"/>
      <c r="E38" s="237"/>
      <c r="F38" s="237"/>
      <c r="G38" s="167"/>
    </row>
    <row r="39" spans="1:10" ht="12.75" customHeight="1">
      <c r="A39" s="49">
        <v>10</v>
      </c>
      <c r="B39" s="50" t="s">
        <v>18</v>
      </c>
      <c r="C39" s="34" t="s">
        <v>19</v>
      </c>
      <c r="D39" s="51"/>
      <c r="E39" s="238"/>
      <c r="F39" s="238"/>
      <c r="G39" s="168"/>
    </row>
    <row r="40" spans="1:10" ht="15" customHeight="1">
      <c r="A40" s="8"/>
      <c r="B40" s="186"/>
      <c r="C40" s="5"/>
      <c r="D40" s="67" t="s">
        <v>184</v>
      </c>
      <c r="E40" s="249">
        <v>6</v>
      </c>
      <c r="F40" s="249" t="s">
        <v>107</v>
      </c>
      <c r="G40" s="150">
        <f>E40*550</f>
        <v>3300</v>
      </c>
      <c r="H40" s="209"/>
      <c r="I40" s="210"/>
      <c r="J40" s="211"/>
    </row>
    <row r="41" spans="1:10" ht="12.75" customHeight="1">
      <c r="A41" s="22">
        <v>11</v>
      </c>
      <c r="B41" s="23" t="s">
        <v>18</v>
      </c>
      <c r="C41" s="24" t="s">
        <v>20</v>
      </c>
      <c r="D41" s="53"/>
      <c r="E41" s="239"/>
      <c r="F41" s="239"/>
      <c r="G41" s="168"/>
    </row>
    <row r="42" spans="1:10">
      <c r="A42" s="271"/>
      <c r="B42" s="186"/>
      <c r="C42" s="17"/>
      <c r="D42" s="67" t="s">
        <v>124</v>
      </c>
      <c r="E42" s="249">
        <f>28</f>
        <v>28</v>
      </c>
      <c r="F42" s="249" t="s">
        <v>101</v>
      </c>
      <c r="G42" s="150">
        <f>E42*550</f>
        <v>15400</v>
      </c>
    </row>
    <row r="43" spans="1:10" ht="12.75" customHeight="1">
      <c r="A43" s="22">
        <v>12</v>
      </c>
      <c r="B43" s="23" t="s">
        <v>21</v>
      </c>
      <c r="C43" s="24">
        <v>9</v>
      </c>
      <c r="D43" s="54"/>
      <c r="E43" s="239"/>
      <c r="F43" s="239"/>
      <c r="G43" s="157"/>
    </row>
    <row r="44" spans="1:10">
      <c r="A44" s="29"/>
      <c r="B44" s="186"/>
      <c r="C44" s="197"/>
      <c r="D44" s="67" t="s">
        <v>178</v>
      </c>
      <c r="E44" s="249">
        <f>46+20</f>
        <v>66</v>
      </c>
      <c r="F44" s="249" t="s">
        <v>101</v>
      </c>
      <c r="G44" s="150">
        <f>E44*550</f>
        <v>36300</v>
      </c>
    </row>
    <row r="45" spans="1:10" ht="12.75" customHeight="1">
      <c r="A45" s="22">
        <v>13</v>
      </c>
      <c r="B45" s="23" t="s">
        <v>21</v>
      </c>
      <c r="C45" s="24" t="s">
        <v>22</v>
      </c>
      <c r="D45" s="54"/>
      <c r="E45" s="239"/>
      <c r="F45" s="239"/>
      <c r="G45" s="157"/>
    </row>
    <row r="46" spans="1:10">
      <c r="A46" s="271"/>
      <c r="B46" s="186"/>
      <c r="C46" s="272"/>
      <c r="D46" s="67" t="s">
        <v>143</v>
      </c>
      <c r="E46" s="249">
        <f>18+43</f>
        <v>61</v>
      </c>
      <c r="F46" s="249" t="s">
        <v>101</v>
      </c>
      <c r="G46" s="150">
        <f>E46*550</f>
        <v>33550</v>
      </c>
    </row>
    <row r="47" spans="1:10">
      <c r="A47" s="271"/>
      <c r="B47" s="186"/>
      <c r="C47" s="272"/>
      <c r="D47" s="67" t="s">
        <v>71</v>
      </c>
      <c r="E47" s="249">
        <v>15</v>
      </c>
      <c r="F47" s="249" t="s">
        <v>126</v>
      </c>
      <c r="G47" s="150">
        <v>25000</v>
      </c>
    </row>
    <row r="48" spans="1:10" ht="12.75" customHeight="1">
      <c r="A48" s="22">
        <v>14</v>
      </c>
      <c r="B48" s="23" t="s">
        <v>21</v>
      </c>
      <c r="C48" s="24" t="s">
        <v>23</v>
      </c>
      <c r="D48" s="54"/>
      <c r="E48" s="239"/>
      <c r="F48" s="239"/>
      <c r="G48" s="157"/>
    </row>
    <row r="49" spans="1:8" ht="12.75" customHeight="1">
      <c r="A49" s="271"/>
      <c r="B49" s="186"/>
      <c r="C49" s="17"/>
      <c r="D49" s="67" t="s">
        <v>187</v>
      </c>
      <c r="E49" s="249">
        <f>24+12+16+22+18.3+8.2</f>
        <v>100.5</v>
      </c>
      <c r="F49" s="249" t="s">
        <v>101</v>
      </c>
      <c r="G49" s="150">
        <f>E49*550</f>
        <v>55275</v>
      </c>
      <c r="H49" s="270"/>
    </row>
    <row r="50" spans="1:8" ht="12.75" customHeight="1">
      <c r="A50" s="22">
        <v>15</v>
      </c>
      <c r="B50" s="23" t="s">
        <v>21</v>
      </c>
      <c r="C50" s="24" t="s">
        <v>19</v>
      </c>
      <c r="D50" s="54"/>
      <c r="E50" s="239"/>
      <c r="F50" s="239"/>
      <c r="G50" s="157"/>
    </row>
    <row r="51" spans="1:8" ht="12.75" customHeight="1">
      <c r="A51" s="271"/>
      <c r="B51" s="90"/>
      <c r="C51" s="190"/>
      <c r="D51" s="258" t="s">
        <v>73</v>
      </c>
      <c r="E51" s="242">
        <v>7</v>
      </c>
      <c r="F51" s="242" t="s">
        <v>97</v>
      </c>
      <c r="G51" s="152">
        <v>30000</v>
      </c>
    </row>
    <row r="52" spans="1:8" ht="12.75" customHeight="1">
      <c r="A52" s="22">
        <v>16</v>
      </c>
      <c r="B52" s="23" t="s">
        <v>21</v>
      </c>
      <c r="C52" s="24" t="s">
        <v>24</v>
      </c>
      <c r="D52" s="54"/>
      <c r="E52" s="239"/>
      <c r="F52" s="239"/>
      <c r="G52" s="157"/>
    </row>
    <row r="53" spans="1:8">
      <c r="A53" s="271"/>
      <c r="B53" s="186"/>
      <c r="C53" s="272"/>
      <c r="D53" s="273" t="s">
        <v>141</v>
      </c>
      <c r="E53" s="274">
        <v>1</v>
      </c>
      <c r="F53" s="274" t="s">
        <v>97</v>
      </c>
      <c r="G53" s="150">
        <v>10000</v>
      </c>
    </row>
    <row r="54" spans="1:8" ht="12.75" customHeight="1">
      <c r="A54" s="22">
        <v>17</v>
      </c>
      <c r="B54" s="23" t="s">
        <v>21</v>
      </c>
      <c r="C54" s="24" t="s">
        <v>25</v>
      </c>
      <c r="D54" s="54"/>
      <c r="E54" s="239"/>
      <c r="F54" s="239"/>
      <c r="G54" s="157"/>
    </row>
    <row r="55" spans="1:8">
      <c r="A55" s="271"/>
      <c r="B55" s="33"/>
      <c r="C55" s="272"/>
      <c r="D55" s="67" t="s">
        <v>176</v>
      </c>
      <c r="E55" s="249">
        <v>45</v>
      </c>
      <c r="F55" s="249" t="s">
        <v>107</v>
      </c>
      <c r="G55" s="150"/>
    </row>
    <row r="56" spans="1:8" ht="12.75" customHeight="1">
      <c r="A56" s="271"/>
      <c r="B56" s="188"/>
      <c r="C56" s="17"/>
      <c r="D56" s="25" t="s">
        <v>69</v>
      </c>
      <c r="E56" s="234"/>
      <c r="F56" s="234"/>
      <c r="G56" s="150">
        <f>3133.43*1.18</f>
        <v>3697.4473999999996</v>
      </c>
    </row>
    <row r="57" spans="1:8" ht="12.75" customHeight="1">
      <c r="A57" s="22">
        <v>18</v>
      </c>
      <c r="B57" s="23" t="s">
        <v>21</v>
      </c>
      <c r="C57" s="24" t="s">
        <v>26</v>
      </c>
      <c r="D57" s="54"/>
      <c r="E57" s="239"/>
      <c r="F57" s="239"/>
      <c r="G57" s="157"/>
    </row>
    <row r="58" spans="1:8">
      <c r="A58" s="271"/>
      <c r="B58" s="188"/>
      <c r="C58" s="17"/>
      <c r="D58" s="25" t="s">
        <v>179</v>
      </c>
      <c r="E58" s="268">
        <v>200</v>
      </c>
      <c r="F58" s="268" t="s">
        <v>107</v>
      </c>
      <c r="G58" s="150">
        <f>86425.78+73760</f>
        <v>160185.78</v>
      </c>
    </row>
    <row r="59" spans="1:8">
      <c r="A59" s="271"/>
      <c r="B59" s="188"/>
      <c r="C59" s="17"/>
      <c r="D59" s="27" t="s">
        <v>173</v>
      </c>
      <c r="E59" s="247">
        <v>12</v>
      </c>
      <c r="F59" s="247" t="s">
        <v>97</v>
      </c>
      <c r="G59" s="206">
        <f>6*2184.77+6*1550.43+32045</f>
        <v>54456.2</v>
      </c>
    </row>
    <row r="60" spans="1:8">
      <c r="A60" s="271"/>
      <c r="B60" s="188"/>
      <c r="C60" s="17"/>
      <c r="D60" s="27" t="s">
        <v>174</v>
      </c>
      <c r="E60" s="247">
        <v>64</v>
      </c>
      <c r="F60" s="247" t="s">
        <v>97</v>
      </c>
      <c r="G60" s="206">
        <f>52699.31+46993</f>
        <v>99692.31</v>
      </c>
    </row>
    <row r="61" spans="1:8" ht="12.75" customHeight="1">
      <c r="A61" s="22">
        <v>19</v>
      </c>
      <c r="B61" s="23" t="s">
        <v>21</v>
      </c>
      <c r="C61" s="24" t="s">
        <v>27</v>
      </c>
      <c r="D61" s="55"/>
      <c r="E61" s="248"/>
      <c r="F61" s="248"/>
      <c r="G61" s="157"/>
    </row>
    <row r="62" spans="1:8">
      <c r="A62" s="271"/>
      <c r="B62" s="186"/>
      <c r="C62" s="272"/>
      <c r="D62" s="67" t="s">
        <v>110</v>
      </c>
      <c r="E62" s="249">
        <v>4.8</v>
      </c>
      <c r="F62" s="249" t="s">
        <v>101</v>
      </c>
      <c r="G62" s="150">
        <f>E62*550</f>
        <v>2640</v>
      </c>
    </row>
    <row r="63" spans="1:8" ht="12.75" customHeight="1">
      <c r="A63" s="22">
        <v>20</v>
      </c>
      <c r="B63" s="23" t="s">
        <v>28</v>
      </c>
      <c r="C63" s="24" t="s">
        <v>29</v>
      </c>
      <c r="D63" s="54"/>
      <c r="E63" s="239"/>
      <c r="F63" s="239"/>
      <c r="G63" s="157"/>
    </row>
    <row r="64" spans="1:8" ht="12.75" customHeight="1">
      <c r="A64" s="22">
        <v>21</v>
      </c>
      <c r="B64" s="23" t="s">
        <v>28</v>
      </c>
      <c r="C64" s="24" t="s">
        <v>24</v>
      </c>
      <c r="D64" s="41"/>
      <c r="E64" s="235"/>
      <c r="F64" s="235"/>
      <c r="G64" s="160"/>
    </row>
    <row r="65" spans="1:14">
      <c r="A65" s="271"/>
      <c r="B65" s="186"/>
      <c r="C65" s="17"/>
      <c r="D65" s="67" t="s">
        <v>100</v>
      </c>
      <c r="E65" s="249">
        <f>15+20</f>
        <v>35</v>
      </c>
      <c r="F65" s="249" t="s">
        <v>101</v>
      </c>
      <c r="G65" s="150">
        <f>15*550</f>
        <v>8250</v>
      </c>
      <c r="H65" s="95"/>
      <c r="I65" s="95"/>
    </row>
    <row r="66" spans="1:14">
      <c r="A66" s="271"/>
      <c r="B66" s="186"/>
      <c r="C66" s="17"/>
      <c r="D66" s="67" t="s">
        <v>94</v>
      </c>
      <c r="E66" s="249">
        <v>1</v>
      </c>
      <c r="F66" s="249" t="s">
        <v>97</v>
      </c>
      <c r="G66" s="150">
        <v>10000</v>
      </c>
      <c r="H66" s="95"/>
      <c r="I66" s="95"/>
    </row>
    <row r="67" spans="1:14" ht="12.75" customHeight="1">
      <c r="A67" s="271"/>
      <c r="B67" s="11"/>
      <c r="C67" s="17"/>
      <c r="D67" s="25" t="s">
        <v>129</v>
      </c>
      <c r="E67" s="234">
        <v>8</v>
      </c>
      <c r="F67" s="234" t="s">
        <v>97</v>
      </c>
      <c r="G67" s="156">
        <f>12922*1.18</f>
        <v>15247.96</v>
      </c>
    </row>
    <row r="68" spans="1:14" ht="12.75" customHeight="1">
      <c r="A68" s="271"/>
      <c r="B68" s="11"/>
      <c r="C68" s="17"/>
      <c r="D68" s="26" t="s">
        <v>149</v>
      </c>
      <c r="E68" s="241">
        <v>1</v>
      </c>
      <c r="F68" s="241" t="s">
        <v>150</v>
      </c>
      <c r="G68" s="156">
        <f>31622*1.18</f>
        <v>37313.96</v>
      </c>
    </row>
    <row r="69" spans="1:14" ht="12.75" customHeight="1">
      <c r="A69" s="271"/>
      <c r="B69" s="11"/>
      <c r="C69" s="17"/>
      <c r="D69" s="25" t="s">
        <v>148</v>
      </c>
      <c r="E69" s="234">
        <v>1</v>
      </c>
      <c r="F69" s="234" t="s">
        <v>97</v>
      </c>
      <c r="G69" s="156">
        <f>11260*1.18</f>
        <v>13286.8</v>
      </c>
    </row>
    <row r="70" spans="1:14" ht="12.75" customHeight="1">
      <c r="A70" s="22">
        <v>22</v>
      </c>
      <c r="B70" s="23" t="s">
        <v>28</v>
      </c>
      <c r="C70" s="24" t="s">
        <v>25</v>
      </c>
      <c r="D70" s="41"/>
      <c r="E70" s="235"/>
      <c r="F70" s="235"/>
      <c r="G70" s="160"/>
    </row>
    <row r="71" spans="1:14">
      <c r="A71" s="271"/>
      <c r="B71" s="186"/>
      <c r="C71" s="272"/>
      <c r="D71" s="67" t="s">
        <v>145</v>
      </c>
      <c r="E71" s="249">
        <f>18+24.5+9</f>
        <v>51.5</v>
      </c>
      <c r="F71" s="249" t="s">
        <v>101</v>
      </c>
      <c r="G71" s="150">
        <f>E71*550</f>
        <v>28325</v>
      </c>
    </row>
    <row r="72" spans="1:14" ht="12.75" customHeight="1">
      <c r="A72" s="22">
        <v>23</v>
      </c>
      <c r="B72" s="23" t="s">
        <v>30</v>
      </c>
      <c r="C72" s="24" t="s">
        <v>31</v>
      </c>
      <c r="D72" s="41"/>
      <c r="E72" s="235"/>
      <c r="F72" s="235"/>
      <c r="G72" s="160"/>
    </row>
    <row r="73" spans="1:14" ht="12.75" customHeight="1">
      <c r="A73" s="271"/>
      <c r="B73" s="11"/>
      <c r="C73" s="17"/>
      <c r="D73" s="27" t="s">
        <v>112</v>
      </c>
      <c r="E73" s="247">
        <v>8</v>
      </c>
      <c r="F73" s="247" t="s">
        <v>97</v>
      </c>
      <c r="G73" s="159">
        <f>85616*1.18</f>
        <v>101026.87999999999</v>
      </c>
      <c r="H73" s="347"/>
      <c r="I73" s="348"/>
      <c r="J73" s="348"/>
    </row>
    <row r="74" spans="1:14" ht="12.75" customHeight="1">
      <c r="A74" s="271"/>
      <c r="B74" s="11"/>
      <c r="C74" s="17"/>
      <c r="D74" s="27" t="s">
        <v>113</v>
      </c>
      <c r="E74" s="247">
        <v>8</v>
      </c>
      <c r="F74" s="247" t="s">
        <v>97</v>
      </c>
      <c r="G74" s="159">
        <f>93416*1.18</f>
        <v>110230.87999999999</v>
      </c>
    </row>
    <row r="75" spans="1:14" ht="12.75" customHeight="1">
      <c r="A75" s="22">
        <v>24</v>
      </c>
      <c r="B75" s="31" t="s">
        <v>30</v>
      </c>
      <c r="C75" s="24" t="s">
        <v>32</v>
      </c>
      <c r="D75" s="56"/>
      <c r="E75" s="236"/>
      <c r="F75" s="236"/>
      <c r="G75" s="160"/>
    </row>
    <row r="76" spans="1:14" ht="24">
      <c r="A76" s="271"/>
      <c r="B76" s="186"/>
      <c r="C76" s="272"/>
      <c r="D76" s="67" t="s">
        <v>171</v>
      </c>
      <c r="E76" s="249">
        <f>4+16+7+6+11+31+48</f>
        <v>123</v>
      </c>
      <c r="F76" s="249" t="s">
        <v>101</v>
      </c>
      <c r="G76" s="150">
        <f>E76*550</f>
        <v>67650</v>
      </c>
    </row>
    <row r="77" spans="1:14">
      <c r="A77" s="271"/>
      <c r="B77" s="186"/>
      <c r="C77" s="272"/>
      <c r="D77" s="67" t="s">
        <v>70</v>
      </c>
      <c r="E77" s="249">
        <v>3</v>
      </c>
      <c r="F77" s="249" t="s">
        <v>126</v>
      </c>
      <c r="G77" s="150">
        <v>5000</v>
      </c>
    </row>
    <row r="78" spans="1:14">
      <c r="A78" s="271"/>
      <c r="B78" s="186"/>
      <c r="C78" s="272"/>
      <c r="D78" s="25" t="s">
        <v>90</v>
      </c>
      <c r="E78" s="234"/>
      <c r="F78" s="234"/>
      <c r="G78" s="150"/>
    </row>
    <row r="79" spans="1:14" ht="12.75" customHeight="1">
      <c r="A79" s="22">
        <v>25</v>
      </c>
      <c r="B79" s="31" t="s">
        <v>30</v>
      </c>
      <c r="C79" s="24" t="s">
        <v>33</v>
      </c>
      <c r="D79" s="56"/>
      <c r="E79" s="236"/>
      <c r="F79" s="236"/>
      <c r="G79" s="160"/>
    </row>
    <row r="80" spans="1:14" s="107" customFormat="1">
      <c r="A80" s="222"/>
      <c r="B80" s="212"/>
      <c r="C80" s="223"/>
      <c r="D80" s="67" t="s">
        <v>155</v>
      </c>
      <c r="E80" s="249">
        <v>29</v>
      </c>
      <c r="F80" s="249" t="s">
        <v>101</v>
      </c>
      <c r="G80" s="158">
        <f>E80*250</f>
        <v>7250</v>
      </c>
      <c r="N80" s="129"/>
    </row>
    <row r="81" spans="1:14" s="216" customFormat="1" ht="15" customHeight="1">
      <c r="A81" s="222"/>
      <c r="B81" s="200"/>
      <c r="C81" s="223"/>
      <c r="D81" s="275" t="s">
        <v>175</v>
      </c>
      <c r="E81" s="249">
        <v>125</v>
      </c>
      <c r="F81" s="249" t="s">
        <v>97</v>
      </c>
      <c r="G81" s="158">
        <f>28700.35+92866*1.18</f>
        <v>138282.22999999998</v>
      </c>
      <c r="N81" s="217"/>
    </row>
    <row r="82" spans="1:14" ht="12.75" customHeight="1">
      <c r="A82" s="22">
        <v>26</v>
      </c>
      <c r="B82" s="31" t="s">
        <v>30</v>
      </c>
      <c r="C82" s="24" t="s">
        <v>34</v>
      </c>
      <c r="D82" s="56"/>
      <c r="E82" s="236"/>
      <c r="F82" s="236"/>
      <c r="G82" s="160"/>
    </row>
    <row r="83" spans="1:14">
      <c r="A83" s="271"/>
      <c r="B83" s="186"/>
      <c r="C83" s="272"/>
      <c r="D83" s="67" t="s">
        <v>98</v>
      </c>
      <c r="E83" s="249">
        <f>4</f>
        <v>4</v>
      </c>
      <c r="F83" s="249"/>
      <c r="G83" s="150">
        <f>4*550</f>
        <v>2200</v>
      </c>
    </row>
    <row r="84" spans="1:14">
      <c r="A84" s="271"/>
      <c r="B84" s="11"/>
      <c r="C84" s="17"/>
      <c r="D84" s="27" t="s">
        <v>68</v>
      </c>
      <c r="E84" s="247"/>
      <c r="F84" s="247"/>
      <c r="G84" s="150">
        <f>13500+4*10000</f>
        <v>53500</v>
      </c>
    </row>
    <row r="85" spans="1:14">
      <c r="A85" s="271"/>
      <c r="B85" s="11"/>
      <c r="C85" s="17"/>
      <c r="D85" s="27" t="s">
        <v>186</v>
      </c>
      <c r="E85" s="247">
        <v>8</v>
      </c>
      <c r="F85" s="247" t="s">
        <v>97</v>
      </c>
      <c r="G85" s="150">
        <v>17844.62</v>
      </c>
    </row>
    <row r="86" spans="1:14">
      <c r="A86" s="271"/>
      <c r="B86" s="11"/>
      <c r="C86" s="17"/>
      <c r="D86" s="27" t="s">
        <v>177</v>
      </c>
      <c r="E86" s="247">
        <v>3</v>
      </c>
      <c r="F86" s="247" t="s">
        <v>138</v>
      </c>
      <c r="G86" s="150">
        <v>150000</v>
      </c>
    </row>
    <row r="87" spans="1:14" ht="12.75" customHeight="1">
      <c r="A87" s="22">
        <v>27</v>
      </c>
      <c r="B87" s="31" t="s">
        <v>30</v>
      </c>
      <c r="C87" s="24" t="s">
        <v>35</v>
      </c>
      <c r="D87" s="56"/>
      <c r="E87" s="236"/>
      <c r="F87" s="236"/>
      <c r="G87" s="160"/>
    </row>
    <row r="88" spans="1:14">
      <c r="A88" s="271"/>
      <c r="B88" s="186"/>
      <c r="C88" s="272"/>
      <c r="D88" s="67" t="s">
        <v>142</v>
      </c>
      <c r="E88" s="249">
        <v>5</v>
      </c>
      <c r="F88" s="249" t="s">
        <v>101</v>
      </c>
      <c r="G88" s="150">
        <f>E88*550</f>
        <v>2750</v>
      </c>
    </row>
    <row r="89" spans="1:14" ht="15" customHeight="1">
      <c r="A89" s="271"/>
      <c r="B89" s="11"/>
      <c r="C89" s="17"/>
      <c r="D89" s="27" t="s">
        <v>191</v>
      </c>
      <c r="E89" s="247">
        <v>5</v>
      </c>
      <c r="F89" s="247" t="s">
        <v>97</v>
      </c>
      <c r="G89" s="154">
        <f>E89*3467.07*1.18</f>
        <v>20455.713</v>
      </c>
    </row>
    <row r="90" spans="1:14" ht="12.75" customHeight="1">
      <c r="A90" s="271"/>
      <c r="B90" s="11"/>
      <c r="C90" s="17"/>
      <c r="D90" s="27" t="s">
        <v>192</v>
      </c>
      <c r="E90" s="247">
        <v>3</v>
      </c>
      <c r="F90" s="247" t="s">
        <v>97</v>
      </c>
      <c r="G90" s="154">
        <v>30000</v>
      </c>
    </row>
    <row r="91" spans="1:14" ht="12.75" customHeight="1">
      <c r="A91" s="271"/>
      <c r="B91" s="11"/>
      <c r="C91" s="17"/>
      <c r="D91" s="27" t="s">
        <v>123</v>
      </c>
      <c r="E91" s="247">
        <v>1</v>
      </c>
      <c r="F91" s="247" t="s">
        <v>97</v>
      </c>
      <c r="G91" s="154">
        <v>3000</v>
      </c>
    </row>
    <row r="92" spans="1:14" ht="12.75" customHeight="1">
      <c r="A92" s="271"/>
      <c r="B92" s="11"/>
      <c r="C92" s="17"/>
      <c r="D92" s="27" t="s">
        <v>122</v>
      </c>
      <c r="E92" s="247">
        <v>1</v>
      </c>
      <c r="F92" s="247" t="s">
        <v>97</v>
      </c>
      <c r="G92" s="154">
        <v>3000</v>
      </c>
    </row>
    <row r="93" spans="1:14" ht="12.75" customHeight="1">
      <c r="A93" s="22">
        <v>28</v>
      </c>
      <c r="B93" s="31" t="s">
        <v>30</v>
      </c>
      <c r="C93" s="24" t="s">
        <v>36</v>
      </c>
      <c r="D93" s="56"/>
      <c r="E93" s="236"/>
      <c r="F93" s="236"/>
      <c r="G93" s="160"/>
    </row>
    <row r="94" spans="1:14">
      <c r="A94" s="271"/>
      <c r="B94" s="186"/>
      <c r="C94" s="272"/>
      <c r="D94" s="67" t="s">
        <v>106</v>
      </c>
      <c r="E94" s="249">
        <f>18+28+9+14</f>
        <v>69</v>
      </c>
      <c r="F94" s="249" t="s">
        <v>101</v>
      </c>
      <c r="G94" s="150">
        <f>E94*550</f>
        <v>37950</v>
      </c>
      <c r="H94" s="94"/>
      <c r="I94" s="94"/>
    </row>
    <row r="95" spans="1:14">
      <c r="A95" s="271"/>
      <c r="B95" s="186"/>
      <c r="C95" s="272"/>
      <c r="D95" s="67" t="s">
        <v>131</v>
      </c>
      <c r="E95" s="249">
        <v>20</v>
      </c>
      <c r="F95" s="249" t="s">
        <v>126</v>
      </c>
      <c r="G95" s="150"/>
      <c r="H95" s="94"/>
      <c r="I95" s="94"/>
    </row>
    <row r="96" spans="1:14" ht="12.75" customHeight="1">
      <c r="A96" s="98">
        <v>30</v>
      </c>
      <c r="B96" s="100" t="s">
        <v>38</v>
      </c>
      <c r="C96" s="108">
        <v>36</v>
      </c>
      <c r="D96" s="104"/>
      <c r="E96" s="250"/>
      <c r="F96" s="250"/>
      <c r="G96" s="162"/>
    </row>
    <row r="97" spans="1:14" ht="12.75" customHeight="1">
      <c r="A97" s="271"/>
      <c r="B97" s="11"/>
      <c r="C97" s="17"/>
      <c r="D97" s="27" t="s">
        <v>193</v>
      </c>
      <c r="E97" s="247"/>
      <c r="F97" s="247"/>
      <c r="G97" s="156">
        <v>60000</v>
      </c>
    </row>
    <row r="98" spans="1:14" ht="24" customHeight="1">
      <c r="A98" s="220"/>
      <c r="B98" s="184"/>
      <c r="C98" s="185"/>
      <c r="D98" s="67" t="s">
        <v>182</v>
      </c>
      <c r="E98" s="267">
        <v>1</v>
      </c>
      <c r="F98" s="267" t="s">
        <v>97</v>
      </c>
      <c r="G98" s="163">
        <f>10169.49*1.18</f>
        <v>11999.9982</v>
      </c>
    </row>
    <row r="99" spans="1:14" ht="12.75" customHeight="1">
      <c r="A99" s="220"/>
      <c r="B99" s="184"/>
      <c r="C99" s="185"/>
      <c r="D99" s="67" t="s">
        <v>169</v>
      </c>
      <c r="E99" s="267">
        <v>2</v>
      </c>
      <c r="F99" s="267" t="s">
        <v>97</v>
      </c>
      <c r="G99" s="163">
        <f>2*3467.07*1.18</f>
        <v>8182.2852000000003</v>
      </c>
    </row>
    <row r="100" spans="1:14" ht="12.75" customHeight="1">
      <c r="A100" s="98">
        <v>31</v>
      </c>
      <c r="B100" s="100" t="s">
        <v>38</v>
      </c>
      <c r="C100" s="108">
        <v>40</v>
      </c>
      <c r="D100" s="104"/>
      <c r="E100" s="250"/>
      <c r="F100" s="250"/>
      <c r="G100" s="162"/>
    </row>
    <row r="101" spans="1:14" ht="12.75" customHeight="1">
      <c r="A101" s="98">
        <v>32</v>
      </c>
      <c r="B101" s="100" t="s">
        <v>38</v>
      </c>
      <c r="C101" s="108">
        <v>46</v>
      </c>
      <c r="D101" s="104"/>
      <c r="E101" s="250"/>
      <c r="F101" s="250"/>
      <c r="G101" s="162"/>
    </row>
    <row r="102" spans="1:14" ht="12.75" customHeight="1">
      <c r="A102" s="271"/>
      <c r="B102" s="186"/>
      <c r="C102" s="17"/>
      <c r="D102" s="67" t="s">
        <v>88</v>
      </c>
      <c r="E102" s="249">
        <f>6</f>
        <v>6</v>
      </c>
      <c r="F102" s="249" t="s">
        <v>107</v>
      </c>
      <c r="G102" s="150">
        <f>E102*550</f>
        <v>3300</v>
      </c>
    </row>
    <row r="103" spans="1:14" ht="12.75" customHeight="1">
      <c r="A103" s="220"/>
      <c r="B103" s="184"/>
      <c r="C103" s="185"/>
      <c r="D103" s="27" t="s">
        <v>93</v>
      </c>
      <c r="E103" s="251">
        <v>1</v>
      </c>
      <c r="F103" s="251" t="s">
        <v>97</v>
      </c>
      <c r="G103" s="161">
        <f>2250*1.18</f>
        <v>2655</v>
      </c>
    </row>
    <row r="104" spans="1:14" ht="12.75" customHeight="1">
      <c r="A104" s="98">
        <v>33</v>
      </c>
      <c r="B104" s="100" t="s">
        <v>39</v>
      </c>
      <c r="C104" s="108">
        <v>24</v>
      </c>
      <c r="D104" s="104"/>
      <c r="E104" s="250"/>
      <c r="F104" s="250"/>
      <c r="G104" s="162"/>
    </row>
    <row r="105" spans="1:14">
      <c r="A105" s="271"/>
      <c r="B105" s="186"/>
      <c r="C105" s="17"/>
      <c r="D105" s="67" t="s">
        <v>167</v>
      </c>
      <c r="E105" s="249">
        <f>9+14</f>
        <v>23</v>
      </c>
      <c r="F105" s="249" t="s">
        <v>101</v>
      </c>
      <c r="G105" s="150">
        <f>E105*550</f>
        <v>12650</v>
      </c>
    </row>
    <row r="106" spans="1:14" ht="12.75" customHeight="1">
      <c r="A106" s="98">
        <v>34</v>
      </c>
      <c r="B106" s="100" t="s">
        <v>40</v>
      </c>
      <c r="C106" s="108">
        <v>28</v>
      </c>
      <c r="D106" s="104"/>
      <c r="E106" s="250"/>
      <c r="F106" s="250"/>
      <c r="G106" s="162"/>
    </row>
    <row r="107" spans="1:14" ht="12.75" customHeight="1">
      <c r="A107" s="271"/>
      <c r="B107" s="186"/>
      <c r="C107" s="272"/>
      <c r="D107" s="67" t="s">
        <v>165</v>
      </c>
      <c r="E107" s="249">
        <f>(27.3+27.3+27.3+27.6+34)</f>
        <v>143.5</v>
      </c>
      <c r="F107" s="249" t="s">
        <v>101</v>
      </c>
      <c r="G107" s="150">
        <f>E107*550</f>
        <v>78925</v>
      </c>
    </row>
    <row r="108" spans="1:14" ht="12.75" customHeight="1">
      <c r="A108" s="271"/>
      <c r="B108" s="90"/>
      <c r="C108" s="272"/>
      <c r="D108" s="259" t="s">
        <v>109</v>
      </c>
      <c r="E108" s="247">
        <v>10</v>
      </c>
      <c r="F108" s="247" t="s">
        <v>104</v>
      </c>
      <c r="G108" s="150">
        <f>E108*2000</f>
        <v>20000</v>
      </c>
    </row>
    <row r="109" spans="1:14" ht="12.75" customHeight="1">
      <c r="A109" s="271"/>
      <c r="B109" s="11"/>
      <c r="C109" s="17"/>
      <c r="D109" s="27" t="s">
        <v>115</v>
      </c>
      <c r="E109" s="247">
        <v>4</v>
      </c>
      <c r="F109" s="247" t="s">
        <v>97</v>
      </c>
      <c r="G109" s="158">
        <f>E109*10959.7</f>
        <v>43838.8</v>
      </c>
    </row>
    <row r="110" spans="1:14" ht="12.75" customHeight="1">
      <c r="A110" s="98">
        <v>35</v>
      </c>
      <c r="B110" s="100" t="s">
        <v>39</v>
      </c>
      <c r="C110" s="108">
        <v>30</v>
      </c>
      <c r="D110" s="104"/>
      <c r="E110" s="250"/>
      <c r="F110" s="250"/>
      <c r="G110" s="162"/>
    </row>
    <row r="111" spans="1:14" s="107" customFormat="1" ht="12.75" customHeight="1">
      <c r="A111" s="222"/>
      <c r="B111" s="212"/>
      <c r="C111" s="194"/>
      <c r="D111" s="67" t="s">
        <v>108</v>
      </c>
      <c r="E111" s="249">
        <f>54*3</f>
        <v>162</v>
      </c>
      <c r="F111" s="249"/>
      <c r="G111" s="158">
        <f>E111*550</f>
        <v>89100</v>
      </c>
      <c r="N111" s="129"/>
    </row>
    <row r="112" spans="1:14" ht="12.75" customHeight="1">
      <c r="A112" s="271"/>
      <c r="B112" s="184"/>
      <c r="C112" s="185"/>
      <c r="D112" s="27" t="s">
        <v>103</v>
      </c>
      <c r="E112" s="251">
        <v>7</v>
      </c>
      <c r="F112" s="251" t="s">
        <v>97</v>
      </c>
      <c r="G112" s="161">
        <f>7*3467.07*1.18+12239*1.18+14442</f>
        <v>57522.018199999999</v>
      </c>
    </row>
    <row r="113" spans="1:14" ht="12.75" customHeight="1">
      <c r="A113" s="98">
        <v>36</v>
      </c>
      <c r="B113" s="100" t="s">
        <v>41</v>
      </c>
      <c r="C113" s="108" t="s">
        <v>42</v>
      </c>
      <c r="D113" s="104"/>
      <c r="E113" s="250"/>
      <c r="F113" s="250"/>
      <c r="G113" s="162"/>
    </row>
    <row r="114" spans="1:14" ht="12.75" customHeight="1">
      <c r="A114" s="271"/>
      <c r="B114" s="186"/>
      <c r="C114" s="17"/>
      <c r="D114" s="67" t="s">
        <v>183</v>
      </c>
      <c r="E114" s="249">
        <v>14</v>
      </c>
      <c r="F114" s="249" t="s">
        <v>101</v>
      </c>
      <c r="G114" s="150">
        <f>E114*550</f>
        <v>7700</v>
      </c>
    </row>
    <row r="115" spans="1:14" ht="12.75" customHeight="1">
      <c r="A115" s="98">
        <v>37</v>
      </c>
      <c r="B115" s="100" t="s">
        <v>43</v>
      </c>
      <c r="C115" s="108">
        <v>3</v>
      </c>
      <c r="D115" s="104"/>
      <c r="E115" s="250"/>
      <c r="F115" s="250"/>
      <c r="G115" s="162"/>
    </row>
    <row r="116" spans="1:14" ht="12.75" customHeight="1">
      <c r="A116" s="271"/>
      <c r="B116" s="33"/>
      <c r="C116" s="272"/>
      <c r="D116" s="67" t="s">
        <v>139</v>
      </c>
      <c r="E116" s="249">
        <v>1</v>
      </c>
      <c r="F116" s="249" t="s">
        <v>97</v>
      </c>
      <c r="G116" s="150">
        <v>10000</v>
      </c>
    </row>
    <row r="117" spans="1:14" ht="13.5" customHeight="1">
      <c r="A117" s="271"/>
      <c r="B117" s="11"/>
      <c r="C117" s="17"/>
      <c r="D117" s="27" t="s">
        <v>114</v>
      </c>
      <c r="E117" s="251">
        <v>7</v>
      </c>
      <c r="F117" s="251" t="s">
        <v>97</v>
      </c>
      <c r="G117" s="161">
        <f>E117*10959.7</f>
        <v>76717.900000000009</v>
      </c>
    </row>
    <row r="118" spans="1:14" s="107" customFormat="1" ht="12.75" customHeight="1">
      <c r="A118" s="98">
        <v>38</v>
      </c>
      <c r="B118" s="100" t="s">
        <v>43</v>
      </c>
      <c r="C118" s="108">
        <v>5</v>
      </c>
      <c r="D118" s="104"/>
      <c r="E118" s="250"/>
      <c r="F118" s="250"/>
      <c r="G118" s="162"/>
      <c r="N118" s="129"/>
    </row>
    <row r="119" spans="1:14" ht="12.75" customHeight="1">
      <c r="A119" s="271"/>
      <c r="B119" s="186"/>
      <c r="C119" s="272"/>
      <c r="D119" s="67" t="s">
        <v>85</v>
      </c>
      <c r="E119" s="249">
        <v>19.5</v>
      </c>
      <c r="F119" s="249" t="s">
        <v>107</v>
      </c>
      <c r="G119" s="150">
        <f>E119*550</f>
        <v>10725</v>
      </c>
      <c r="H119" s="269"/>
    </row>
    <row r="120" spans="1:14" ht="12.75" customHeight="1">
      <c r="A120" s="98">
        <v>39</v>
      </c>
      <c r="B120" s="100" t="s">
        <v>44</v>
      </c>
      <c r="C120" s="108" t="s">
        <v>56</v>
      </c>
      <c r="D120" s="104"/>
      <c r="E120" s="250"/>
      <c r="F120" s="250"/>
      <c r="G120" s="162"/>
    </row>
    <row r="121" spans="1:14">
      <c r="A121" s="271"/>
      <c r="B121" s="186"/>
      <c r="C121" s="17"/>
      <c r="D121" s="67" t="s">
        <v>140</v>
      </c>
      <c r="E121" s="249">
        <f>32+8+10+20+16</f>
        <v>86</v>
      </c>
      <c r="F121" s="249" t="s">
        <v>107</v>
      </c>
      <c r="G121" s="150">
        <f>E121*550</f>
        <v>47300</v>
      </c>
    </row>
    <row r="122" spans="1:14" ht="12.75" customHeight="1">
      <c r="A122" s="271"/>
      <c r="B122" s="11"/>
      <c r="C122" s="17"/>
      <c r="D122" s="27" t="s">
        <v>194</v>
      </c>
      <c r="E122" s="247">
        <v>7</v>
      </c>
      <c r="F122" s="247" t="s">
        <v>97</v>
      </c>
      <c r="G122" s="150">
        <f>7*697.27*1.18</f>
        <v>5759.4501999999993</v>
      </c>
    </row>
    <row r="123" spans="1:14" ht="12.75" customHeight="1">
      <c r="A123" s="98">
        <v>40</v>
      </c>
      <c r="B123" s="100" t="s">
        <v>45</v>
      </c>
      <c r="C123" s="108">
        <v>11</v>
      </c>
      <c r="D123" s="104"/>
      <c r="E123" s="250"/>
      <c r="F123" s="250"/>
      <c r="G123" s="162"/>
    </row>
    <row r="124" spans="1:14" ht="12.75" customHeight="1">
      <c r="A124" s="271"/>
      <c r="B124" s="11"/>
      <c r="C124" s="17"/>
      <c r="D124" s="27" t="s">
        <v>130</v>
      </c>
      <c r="E124" s="247">
        <v>3</v>
      </c>
      <c r="F124" s="247" t="s">
        <v>97</v>
      </c>
      <c r="G124" s="150">
        <f>3*10348*1.18</f>
        <v>36631.919999999998</v>
      </c>
    </row>
    <row r="125" spans="1:14" ht="12.75" customHeight="1">
      <c r="A125" s="98">
        <v>41</v>
      </c>
      <c r="B125" s="100" t="s">
        <v>45</v>
      </c>
      <c r="C125" s="108">
        <v>13</v>
      </c>
      <c r="D125" s="104"/>
      <c r="E125" s="250"/>
      <c r="F125" s="250"/>
      <c r="G125" s="162"/>
    </row>
    <row r="126" spans="1:14">
      <c r="A126" s="271"/>
      <c r="B126" s="186"/>
      <c r="C126" s="272"/>
      <c r="D126" s="67" t="s">
        <v>166</v>
      </c>
      <c r="E126" s="249">
        <f>9+12</f>
        <v>21</v>
      </c>
      <c r="F126" s="249" t="s">
        <v>101</v>
      </c>
      <c r="G126" s="150">
        <f>E126*550</f>
        <v>11550</v>
      </c>
    </row>
    <row r="127" spans="1:14" ht="12.75" customHeight="1">
      <c r="A127" s="98">
        <v>42</v>
      </c>
      <c r="B127" s="100" t="s">
        <v>57</v>
      </c>
      <c r="C127" s="108">
        <v>17</v>
      </c>
      <c r="D127" s="104"/>
      <c r="E127" s="250"/>
      <c r="F127" s="250"/>
      <c r="G127" s="162"/>
    </row>
    <row r="128" spans="1:14" ht="12.75" customHeight="1">
      <c r="A128" s="98">
        <v>43</v>
      </c>
      <c r="B128" s="100" t="s">
        <v>45</v>
      </c>
      <c r="C128" s="108">
        <v>19</v>
      </c>
      <c r="D128" s="104"/>
      <c r="E128" s="250"/>
      <c r="F128" s="250"/>
      <c r="G128" s="162"/>
    </row>
    <row r="129" spans="1:7" ht="12.75" customHeight="1">
      <c r="A129" s="271"/>
      <c r="B129" s="186"/>
      <c r="C129" s="17"/>
      <c r="D129" s="67" t="s">
        <v>188</v>
      </c>
      <c r="E129" s="249">
        <v>3</v>
      </c>
      <c r="F129" s="249" t="s">
        <v>107</v>
      </c>
      <c r="G129" s="150">
        <f>5*550</f>
        <v>2750</v>
      </c>
    </row>
    <row r="130" spans="1:7" ht="12.75" customHeight="1">
      <c r="A130" s="98">
        <v>44</v>
      </c>
      <c r="B130" s="100" t="s">
        <v>45</v>
      </c>
      <c r="C130" s="108">
        <v>21</v>
      </c>
      <c r="D130" s="104"/>
      <c r="E130" s="250"/>
      <c r="F130" s="250"/>
      <c r="G130" s="162"/>
    </row>
    <row r="131" spans="1:7" ht="12.75" customHeight="1">
      <c r="A131" s="98">
        <v>45</v>
      </c>
      <c r="B131" s="100" t="s">
        <v>58</v>
      </c>
      <c r="C131" s="108" t="s">
        <v>59</v>
      </c>
      <c r="D131" s="104"/>
      <c r="E131" s="250"/>
      <c r="F131" s="250"/>
      <c r="G131" s="162"/>
    </row>
    <row r="132" spans="1:7" ht="12.75" customHeight="1">
      <c r="A132" s="98">
        <v>46</v>
      </c>
      <c r="B132" s="100" t="s">
        <v>47</v>
      </c>
      <c r="C132" s="108">
        <v>2</v>
      </c>
      <c r="D132" s="104"/>
      <c r="E132" s="250"/>
      <c r="F132" s="250"/>
      <c r="G132" s="162"/>
    </row>
    <row r="133" spans="1:7" ht="12.75" customHeight="1">
      <c r="A133" s="271"/>
      <c r="B133" s="90"/>
      <c r="C133" s="272"/>
      <c r="D133" s="67" t="s">
        <v>96</v>
      </c>
      <c r="E133" s="249">
        <v>14</v>
      </c>
      <c r="F133" s="249"/>
      <c r="G133" s="150">
        <f>E133*550</f>
        <v>7700</v>
      </c>
    </row>
    <row r="134" spans="1:7" ht="12.75" customHeight="1">
      <c r="A134" s="98">
        <v>47</v>
      </c>
      <c r="B134" s="100" t="s">
        <v>47</v>
      </c>
      <c r="C134" s="108" t="s">
        <v>10</v>
      </c>
      <c r="D134" s="104"/>
      <c r="E134" s="250"/>
      <c r="F134" s="250"/>
      <c r="G134" s="162"/>
    </row>
    <row r="135" spans="1:7" ht="12.75" customHeight="1">
      <c r="A135" s="271"/>
      <c r="B135" s="90"/>
      <c r="C135" s="272"/>
      <c r="D135" s="67" t="s">
        <v>195</v>
      </c>
      <c r="E135" s="249">
        <v>9</v>
      </c>
      <c r="F135" s="249" t="s">
        <v>101</v>
      </c>
      <c r="G135" s="150">
        <f>E135*550</f>
        <v>4950</v>
      </c>
    </row>
    <row r="136" spans="1:7" ht="12.75" customHeight="1">
      <c r="A136" s="271"/>
      <c r="B136" s="11"/>
      <c r="C136" s="17"/>
      <c r="D136" s="67" t="s">
        <v>105</v>
      </c>
      <c r="E136" s="249">
        <v>210</v>
      </c>
      <c r="F136" s="249" t="s">
        <v>104</v>
      </c>
      <c r="G136" s="156">
        <v>210000</v>
      </c>
    </row>
    <row r="137" spans="1:7" ht="12.75" customHeight="1">
      <c r="A137" s="271"/>
      <c r="B137" s="184"/>
      <c r="C137" s="185"/>
      <c r="D137" s="27" t="s">
        <v>116</v>
      </c>
      <c r="E137" s="251">
        <v>3</v>
      </c>
      <c r="F137" s="251" t="s">
        <v>97</v>
      </c>
      <c r="G137" s="161">
        <f>E137*10959.7</f>
        <v>32879.100000000006</v>
      </c>
    </row>
    <row r="138" spans="1:7" ht="12.75" customHeight="1">
      <c r="A138" s="271"/>
      <c r="B138" s="184"/>
      <c r="C138" s="185"/>
      <c r="D138" s="259" t="s">
        <v>168</v>
      </c>
      <c r="E138" s="251">
        <v>6</v>
      </c>
      <c r="F138" s="251" t="s">
        <v>97</v>
      </c>
      <c r="G138" s="161">
        <f>33389*1.18</f>
        <v>39399.019999999997</v>
      </c>
    </row>
    <row r="139" spans="1:7" ht="12.75" customHeight="1">
      <c r="A139" s="98">
        <v>51</v>
      </c>
      <c r="B139" s="100" t="s">
        <v>51</v>
      </c>
      <c r="C139" s="108">
        <v>16</v>
      </c>
      <c r="D139" s="104"/>
      <c r="E139" s="250"/>
      <c r="F139" s="250"/>
      <c r="G139" s="162"/>
    </row>
    <row r="140" spans="1:7" ht="12.75" customHeight="1">
      <c r="A140" s="98">
        <v>52</v>
      </c>
      <c r="B140" s="100" t="s">
        <v>51</v>
      </c>
      <c r="C140" s="108">
        <v>18</v>
      </c>
      <c r="D140" s="104"/>
      <c r="E140" s="250"/>
      <c r="F140" s="250"/>
      <c r="G140" s="162"/>
    </row>
    <row r="141" spans="1:7" ht="12.75" customHeight="1">
      <c r="A141" s="98">
        <v>53</v>
      </c>
      <c r="B141" s="100" t="s">
        <v>39</v>
      </c>
      <c r="C141" s="108">
        <v>40</v>
      </c>
      <c r="D141" s="104"/>
      <c r="E141" s="250"/>
      <c r="F141" s="250"/>
      <c r="G141" s="162"/>
    </row>
    <row r="142" spans="1:7" ht="12.75" customHeight="1">
      <c r="A142" s="98">
        <v>54</v>
      </c>
      <c r="B142" s="100" t="s">
        <v>46</v>
      </c>
      <c r="C142" s="108">
        <v>14</v>
      </c>
      <c r="D142" s="104"/>
      <c r="E142" s="250"/>
      <c r="F142" s="250"/>
      <c r="G142" s="162"/>
    </row>
    <row r="143" spans="1:7">
      <c r="A143" s="98"/>
      <c r="B143" s="90"/>
      <c r="C143" s="272"/>
      <c r="D143" s="67" t="s">
        <v>87</v>
      </c>
      <c r="E143" s="249">
        <f>16+18</f>
        <v>34</v>
      </c>
      <c r="F143" s="249" t="s">
        <v>101</v>
      </c>
      <c r="G143" s="150">
        <f>E143*550</f>
        <v>18700</v>
      </c>
    </row>
    <row r="144" spans="1:7">
      <c r="A144" s="98"/>
      <c r="B144" s="90"/>
      <c r="C144" s="272"/>
      <c r="D144" s="67" t="s">
        <v>127</v>
      </c>
      <c r="E144" s="249">
        <v>2</v>
      </c>
      <c r="F144" s="249" t="s">
        <v>126</v>
      </c>
      <c r="G144" s="150">
        <v>3000</v>
      </c>
    </row>
    <row r="145" spans="1:7">
      <c r="A145" s="98"/>
      <c r="B145" s="90"/>
      <c r="C145" s="272"/>
      <c r="D145" s="67" t="s">
        <v>128</v>
      </c>
      <c r="E145" s="249">
        <v>1</v>
      </c>
      <c r="F145" s="249" t="s">
        <v>97</v>
      </c>
      <c r="G145" s="150">
        <v>5000</v>
      </c>
    </row>
    <row r="146" spans="1:7" ht="12.75" customHeight="1">
      <c r="A146" s="98">
        <v>56</v>
      </c>
      <c r="B146" s="100" t="s">
        <v>52</v>
      </c>
      <c r="C146" s="108" t="s">
        <v>53</v>
      </c>
      <c r="D146" s="104"/>
      <c r="E146" s="250"/>
      <c r="F146" s="250"/>
      <c r="G146" s="162"/>
    </row>
    <row r="147" spans="1:7" ht="12.75" customHeight="1">
      <c r="A147" s="98"/>
      <c r="B147" s="11"/>
      <c r="C147" s="17"/>
      <c r="D147" s="27" t="s">
        <v>163</v>
      </c>
      <c r="E147" s="247">
        <v>12</v>
      </c>
      <c r="F147" s="247" t="s">
        <v>97</v>
      </c>
      <c r="G147" s="150">
        <f>697.27*1.18*12+7119*1.18</f>
        <v>18273.763200000001</v>
      </c>
    </row>
    <row r="148" spans="1:7" ht="12.75" customHeight="1">
      <c r="A148" s="98">
        <v>57</v>
      </c>
      <c r="B148" s="100" t="s">
        <v>54</v>
      </c>
      <c r="C148" s="108" t="s">
        <v>55</v>
      </c>
      <c r="D148" s="104"/>
      <c r="E148" s="250"/>
      <c r="F148" s="250"/>
      <c r="G148" s="162"/>
    </row>
    <row r="149" spans="1:7" ht="12.75" customHeight="1">
      <c r="A149" s="123"/>
      <c r="B149" s="11"/>
      <c r="C149" s="17"/>
      <c r="D149" s="27" t="s">
        <v>163</v>
      </c>
      <c r="E149" s="247">
        <v>8</v>
      </c>
      <c r="F149" s="247" t="s">
        <v>97</v>
      </c>
      <c r="G149" s="150">
        <f>697.27*1.18*8+5340*1.18</f>
        <v>12883.4288</v>
      </c>
    </row>
    <row r="150" spans="1:7" ht="12.75" customHeight="1">
      <c r="A150" s="123">
        <v>58</v>
      </c>
      <c r="B150" s="218" t="s">
        <v>74</v>
      </c>
      <c r="C150" s="201" t="s">
        <v>75</v>
      </c>
      <c r="D150" s="219"/>
      <c r="E150" s="255"/>
      <c r="F150" s="255"/>
      <c r="G150" s="260"/>
    </row>
    <row r="151" spans="1:7" ht="12.75" customHeight="1">
      <c r="A151" s="123">
        <v>59</v>
      </c>
      <c r="B151" s="218" t="s">
        <v>74</v>
      </c>
      <c r="C151" s="201" t="s">
        <v>76</v>
      </c>
      <c r="D151" s="219"/>
      <c r="E151" s="255"/>
      <c r="F151" s="255"/>
      <c r="G151" s="260"/>
    </row>
    <row r="152" spans="1:7" ht="12.75" customHeight="1">
      <c r="A152" s="124"/>
      <c r="B152" s="124"/>
      <c r="C152" s="261"/>
      <c r="D152" s="124"/>
      <c r="E152" s="262"/>
      <c r="F152" s="262"/>
      <c r="G152" s="263"/>
    </row>
    <row r="153" spans="1:7" ht="12.75" customHeight="1">
      <c r="A153" s="124"/>
      <c r="B153" s="124"/>
      <c r="C153" s="261"/>
      <c r="D153" s="124"/>
      <c r="E153" s="262"/>
      <c r="F153" s="262"/>
      <c r="G153" s="263"/>
    </row>
    <row r="154" spans="1:7" ht="12.75" customHeight="1">
      <c r="A154" s="124"/>
      <c r="B154" s="124"/>
      <c r="C154" s="261"/>
      <c r="D154" s="124"/>
      <c r="E154" s="262"/>
      <c r="F154" s="262"/>
      <c r="G154" s="263"/>
    </row>
    <row r="155" spans="1:7" ht="12.75" customHeight="1">
      <c r="A155" s="124"/>
      <c r="B155" s="124"/>
      <c r="C155" s="261"/>
      <c r="D155" s="124"/>
      <c r="E155" s="262"/>
      <c r="F155" s="262"/>
      <c r="G155" s="263"/>
    </row>
    <row r="156" spans="1:7" ht="12.75" customHeight="1">
      <c r="A156" s="124"/>
      <c r="B156" s="124"/>
      <c r="C156" s="261"/>
      <c r="D156" s="124"/>
      <c r="E156" s="262"/>
      <c r="F156" s="262"/>
      <c r="G156" s="263"/>
    </row>
    <row r="157" spans="1:7" ht="12.75" customHeight="1">
      <c r="A157" s="124"/>
      <c r="B157" s="124"/>
      <c r="C157" s="261"/>
      <c r="D157" s="124"/>
      <c r="E157" s="262"/>
      <c r="F157" s="262"/>
      <c r="G157" s="263"/>
    </row>
    <row r="158" spans="1:7" ht="12.75" customHeight="1">
      <c r="A158" s="124"/>
      <c r="B158" s="124"/>
      <c r="C158" s="261"/>
      <c r="D158" s="124"/>
      <c r="E158" s="262"/>
      <c r="F158" s="262"/>
      <c r="G158" s="263"/>
    </row>
    <row r="159" spans="1:7" ht="12.75" customHeight="1">
      <c r="A159" s="124"/>
      <c r="B159" s="124"/>
      <c r="C159" s="261"/>
      <c r="D159" s="124"/>
      <c r="E159" s="262"/>
      <c r="F159" s="262"/>
      <c r="G159" s="263"/>
    </row>
    <row r="160" spans="1:7" ht="12.75" customHeight="1">
      <c r="A160" s="124"/>
      <c r="B160" s="124"/>
      <c r="C160" s="261"/>
      <c r="D160" s="124"/>
      <c r="E160" s="262"/>
      <c r="F160" s="262"/>
      <c r="G160" s="263"/>
    </row>
    <row r="161" spans="1:7" ht="12.75" customHeight="1">
      <c r="A161" s="124"/>
      <c r="B161" s="124"/>
      <c r="C161" s="261"/>
      <c r="D161" s="124"/>
      <c r="E161" s="262"/>
      <c r="F161" s="262"/>
      <c r="G161" s="263"/>
    </row>
    <row r="162" spans="1:7" ht="12.75" customHeight="1">
      <c r="A162" s="124"/>
      <c r="B162" s="124"/>
      <c r="C162" s="261"/>
      <c r="D162" s="124"/>
      <c r="E162" s="262"/>
      <c r="F162" s="262"/>
      <c r="G162" s="263"/>
    </row>
    <row r="163" spans="1:7" ht="12.75" customHeight="1">
      <c r="A163" s="124"/>
      <c r="B163" s="124"/>
      <c r="C163" s="261"/>
      <c r="D163" s="124"/>
      <c r="E163" s="262"/>
      <c r="F163" s="262"/>
      <c r="G163" s="263"/>
    </row>
    <row r="164" spans="1:7" ht="12.75" customHeight="1">
      <c r="A164" s="124"/>
      <c r="B164" s="124"/>
      <c r="C164" s="261"/>
      <c r="D164" s="124"/>
      <c r="E164" s="262"/>
      <c r="F164" s="262"/>
      <c r="G164" s="263"/>
    </row>
    <row r="165" spans="1:7" ht="12.75" customHeight="1">
      <c r="A165" s="124"/>
      <c r="B165" s="124"/>
      <c r="C165" s="261"/>
      <c r="D165" s="124"/>
      <c r="E165" s="262"/>
      <c r="F165" s="262"/>
      <c r="G165" s="263"/>
    </row>
    <row r="166" spans="1:7" ht="12.75" customHeight="1">
      <c r="A166" s="124"/>
      <c r="B166" s="124"/>
      <c r="C166" s="261"/>
      <c r="D166" s="124"/>
      <c r="E166" s="262"/>
      <c r="F166" s="262"/>
      <c r="G166" s="263"/>
    </row>
    <row r="167" spans="1:7" ht="12.75" customHeight="1">
      <c r="A167" s="124"/>
      <c r="B167" s="124"/>
      <c r="C167" s="261"/>
      <c r="D167" s="124"/>
      <c r="E167" s="262"/>
      <c r="F167" s="262"/>
      <c r="G167" s="263"/>
    </row>
    <row r="168" spans="1:7" ht="12.75" customHeight="1">
      <c r="A168" s="124"/>
      <c r="B168" s="124"/>
      <c r="C168" s="261"/>
      <c r="D168" s="124"/>
      <c r="E168" s="262"/>
      <c r="F168" s="262"/>
      <c r="G168" s="263"/>
    </row>
    <row r="169" spans="1:7" ht="12.75" customHeight="1">
      <c r="A169" s="124"/>
      <c r="B169" s="124"/>
      <c r="C169" s="261"/>
      <c r="D169" s="124"/>
      <c r="E169" s="262"/>
      <c r="F169" s="262"/>
      <c r="G169" s="263"/>
    </row>
    <row r="170" spans="1:7" ht="12.75" customHeight="1">
      <c r="A170" s="124"/>
      <c r="B170" s="124"/>
      <c r="C170" s="261"/>
      <c r="D170" s="124"/>
      <c r="E170" s="262"/>
      <c r="F170" s="262"/>
      <c r="G170" s="263"/>
    </row>
    <row r="171" spans="1:7" ht="12.75" customHeight="1">
      <c r="A171" s="124"/>
      <c r="B171" s="124"/>
      <c r="C171" s="261"/>
      <c r="D171" s="124"/>
      <c r="E171" s="262"/>
      <c r="F171" s="262"/>
      <c r="G171" s="263"/>
    </row>
    <row r="172" spans="1:7" ht="12.75" customHeight="1">
      <c r="A172" s="124"/>
      <c r="B172" s="124"/>
      <c r="C172" s="261"/>
      <c r="D172" s="124"/>
      <c r="E172" s="262"/>
      <c r="F172" s="262"/>
      <c r="G172" s="263"/>
    </row>
    <row r="173" spans="1:7" ht="12.75" customHeight="1">
      <c r="A173" s="124"/>
      <c r="B173" s="124"/>
      <c r="C173" s="261"/>
      <c r="D173" s="124"/>
      <c r="E173" s="262"/>
      <c r="F173" s="262"/>
      <c r="G173" s="263"/>
    </row>
    <row r="174" spans="1:7" ht="12.75" customHeight="1">
      <c r="A174" s="124"/>
      <c r="B174" s="124"/>
      <c r="C174" s="261"/>
      <c r="D174" s="124"/>
      <c r="E174" s="262"/>
      <c r="F174" s="262"/>
      <c r="G174" s="263"/>
    </row>
    <row r="175" spans="1:7" ht="12.75" customHeight="1">
      <c r="A175" s="124"/>
      <c r="B175" s="124"/>
      <c r="C175" s="261"/>
      <c r="D175" s="124"/>
      <c r="E175" s="262"/>
      <c r="F175" s="262"/>
      <c r="G175" s="263"/>
    </row>
    <row r="176" spans="1:7" ht="12.75" customHeight="1">
      <c r="A176" s="124"/>
      <c r="B176" s="124"/>
      <c r="C176" s="261"/>
      <c r="D176" s="124"/>
      <c r="E176" s="262"/>
      <c r="F176" s="262"/>
      <c r="G176" s="263"/>
    </row>
    <row r="177" spans="1:7" ht="12.75" customHeight="1">
      <c r="A177" s="124"/>
      <c r="B177" s="124"/>
      <c r="C177" s="261"/>
      <c r="D177" s="124"/>
      <c r="E177" s="262"/>
      <c r="F177" s="262"/>
      <c r="G177" s="263"/>
    </row>
    <row r="178" spans="1:7" ht="12.75" customHeight="1">
      <c r="A178" s="124"/>
      <c r="B178" s="124"/>
      <c r="C178" s="261"/>
      <c r="D178" s="124"/>
      <c r="E178" s="262"/>
      <c r="F178" s="262"/>
      <c r="G178" s="263"/>
    </row>
    <row r="179" spans="1:7" ht="12.75" customHeight="1">
      <c r="A179" s="124"/>
      <c r="B179" s="124"/>
      <c r="C179" s="261"/>
      <c r="D179" s="124"/>
      <c r="E179" s="262"/>
      <c r="F179" s="262"/>
      <c r="G179" s="263"/>
    </row>
    <row r="180" spans="1:7" ht="12.75" customHeight="1">
      <c r="A180" s="124"/>
      <c r="B180" s="124"/>
      <c r="C180" s="261"/>
      <c r="D180" s="124"/>
      <c r="E180" s="262"/>
      <c r="F180" s="262"/>
      <c r="G180" s="263"/>
    </row>
    <row r="181" spans="1:7" ht="12.75" customHeight="1">
      <c r="A181" s="124"/>
      <c r="B181" s="124"/>
      <c r="C181" s="261"/>
      <c r="D181" s="124"/>
      <c r="E181" s="262"/>
      <c r="F181" s="262"/>
      <c r="G181" s="263"/>
    </row>
    <row r="182" spans="1:7" ht="12.75" customHeight="1">
      <c r="A182" s="124"/>
      <c r="B182" s="124"/>
      <c r="C182" s="261"/>
      <c r="D182" s="124"/>
      <c r="E182" s="262"/>
      <c r="F182" s="262"/>
      <c r="G182" s="263"/>
    </row>
    <row r="183" spans="1:7" ht="12.75" customHeight="1">
      <c r="A183" s="124"/>
      <c r="B183" s="124"/>
      <c r="C183" s="261"/>
      <c r="D183" s="124"/>
      <c r="E183" s="262"/>
      <c r="F183" s="262"/>
      <c r="G183" s="263"/>
    </row>
    <row r="184" spans="1:7" ht="12.75" customHeight="1">
      <c r="A184" s="124"/>
      <c r="B184" s="124"/>
      <c r="C184" s="261"/>
      <c r="D184" s="124"/>
      <c r="E184" s="262"/>
      <c r="F184" s="262"/>
      <c r="G184" s="263"/>
    </row>
    <row r="185" spans="1:7" ht="12.75" customHeight="1">
      <c r="A185" s="124"/>
      <c r="B185" s="124"/>
      <c r="C185" s="261"/>
      <c r="D185" s="124"/>
      <c r="E185" s="262"/>
      <c r="F185" s="262"/>
      <c r="G185" s="263"/>
    </row>
    <row r="186" spans="1:7" ht="12.75" customHeight="1">
      <c r="A186" s="124"/>
      <c r="B186" s="124"/>
      <c r="C186" s="261"/>
      <c r="D186" s="124"/>
      <c r="E186" s="262"/>
      <c r="F186" s="262"/>
      <c r="G186" s="263"/>
    </row>
    <row r="187" spans="1:7" ht="12.75" customHeight="1">
      <c r="A187" s="124"/>
      <c r="B187" s="124"/>
      <c r="C187" s="261"/>
      <c r="D187" s="124"/>
      <c r="E187" s="262"/>
      <c r="F187" s="262"/>
      <c r="G187" s="263"/>
    </row>
    <row r="188" spans="1:7" ht="12.75" customHeight="1">
      <c r="A188" s="124"/>
      <c r="B188" s="124"/>
      <c r="C188" s="261"/>
      <c r="D188" s="124"/>
      <c r="E188" s="262"/>
      <c r="F188" s="262"/>
      <c r="G188" s="263"/>
    </row>
    <row r="189" spans="1:7" ht="12.75" customHeight="1">
      <c r="A189" s="124"/>
      <c r="B189" s="124"/>
      <c r="C189" s="261"/>
      <c r="D189" s="124"/>
      <c r="E189" s="262"/>
      <c r="F189" s="262"/>
      <c r="G189" s="263"/>
    </row>
    <row r="190" spans="1:7" ht="12.75" customHeight="1">
      <c r="A190" s="124"/>
      <c r="B190" s="124"/>
      <c r="C190" s="261"/>
      <c r="D190" s="124"/>
      <c r="E190" s="262"/>
      <c r="F190" s="262"/>
      <c r="G190" s="263"/>
    </row>
    <row r="191" spans="1:7" ht="12.75" customHeight="1">
      <c r="A191" s="124"/>
      <c r="B191" s="124"/>
      <c r="C191" s="261"/>
      <c r="D191" s="124"/>
      <c r="E191" s="262"/>
      <c r="F191" s="262"/>
      <c r="G191" s="263"/>
    </row>
    <row r="192" spans="1:7" ht="12.75" customHeight="1">
      <c r="A192" s="124"/>
      <c r="B192" s="124"/>
      <c r="C192" s="261"/>
      <c r="D192" s="124"/>
      <c r="E192" s="262"/>
      <c r="F192" s="262"/>
      <c r="G192" s="263"/>
    </row>
    <row r="193" spans="1:7" ht="12.75" customHeight="1">
      <c r="A193" s="124"/>
      <c r="B193" s="124"/>
      <c r="C193" s="261"/>
      <c r="D193" s="124"/>
      <c r="E193" s="262"/>
      <c r="F193" s="262"/>
      <c r="G193" s="263"/>
    </row>
    <row r="194" spans="1:7" ht="12.75" customHeight="1">
      <c r="A194" s="124"/>
      <c r="B194" s="124"/>
      <c r="C194" s="261"/>
      <c r="D194" s="124"/>
      <c r="E194" s="262"/>
      <c r="F194" s="262"/>
      <c r="G194" s="263"/>
    </row>
    <row r="195" spans="1:7" ht="12.75" customHeight="1">
      <c r="A195" s="124"/>
      <c r="B195" s="124"/>
      <c r="C195" s="261"/>
      <c r="D195" s="124"/>
      <c r="E195" s="262"/>
      <c r="F195" s="262"/>
      <c r="G195" s="263"/>
    </row>
    <row r="196" spans="1:7" ht="12.75" customHeight="1">
      <c r="A196" s="124"/>
      <c r="B196" s="124"/>
      <c r="C196" s="261"/>
      <c r="D196" s="124"/>
      <c r="E196" s="262"/>
      <c r="F196" s="262"/>
      <c r="G196" s="263"/>
    </row>
    <row r="197" spans="1:7" ht="12.75" customHeight="1">
      <c r="A197" s="124"/>
      <c r="B197" s="124"/>
      <c r="C197" s="261"/>
      <c r="D197" s="124"/>
      <c r="E197" s="262"/>
      <c r="F197" s="262"/>
      <c r="G197" s="263"/>
    </row>
    <row r="198" spans="1:7" ht="12.75" customHeight="1">
      <c r="A198" s="124"/>
      <c r="B198" s="124"/>
      <c r="C198" s="261"/>
      <c r="D198" s="124"/>
      <c r="E198" s="262"/>
      <c r="F198" s="262"/>
      <c r="G198" s="263"/>
    </row>
    <row r="199" spans="1:7" ht="12.75" customHeight="1">
      <c r="A199" s="124"/>
      <c r="B199" s="124"/>
      <c r="C199" s="261"/>
      <c r="D199" s="124"/>
      <c r="E199" s="262"/>
      <c r="F199" s="262"/>
      <c r="G199" s="263"/>
    </row>
    <row r="200" spans="1:7" ht="12.75" customHeight="1">
      <c r="A200" s="124"/>
      <c r="B200" s="124"/>
      <c r="C200" s="261"/>
      <c r="D200" s="124"/>
      <c r="E200" s="262"/>
      <c r="F200" s="262"/>
      <c r="G200" s="263"/>
    </row>
    <row r="201" spans="1:7" ht="12.75" customHeight="1">
      <c r="A201" s="124"/>
      <c r="B201" s="124"/>
      <c r="C201" s="261"/>
      <c r="D201" s="124"/>
      <c r="E201" s="262"/>
      <c r="F201" s="262"/>
      <c r="G201" s="263"/>
    </row>
    <row r="202" spans="1:7" ht="12.75" customHeight="1">
      <c r="A202" s="124"/>
      <c r="B202" s="124"/>
      <c r="C202" s="261"/>
      <c r="D202" s="124"/>
      <c r="E202" s="262"/>
      <c r="F202" s="262"/>
      <c r="G202" s="263"/>
    </row>
    <row r="203" spans="1:7" ht="12.75" customHeight="1">
      <c r="A203" s="124"/>
      <c r="B203" s="124"/>
      <c r="C203" s="261"/>
      <c r="D203" s="124"/>
      <c r="E203" s="262"/>
      <c r="F203" s="262"/>
      <c r="G203" s="263"/>
    </row>
    <row r="204" spans="1:7" ht="12.75" customHeight="1">
      <c r="A204" s="124"/>
      <c r="B204" s="124"/>
      <c r="C204" s="261"/>
      <c r="D204" s="124"/>
      <c r="E204" s="262"/>
      <c r="F204" s="262"/>
      <c r="G204" s="263"/>
    </row>
    <row r="205" spans="1:7" ht="12.75" customHeight="1">
      <c r="A205" s="124"/>
      <c r="B205" s="124"/>
      <c r="C205" s="261"/>
      <c r="D205" s="124"/>
      <c r="E205" s="262"/>
      <c r="F205" s="262"/>
      <c r="G205" s="263"/>
    </row>
    <row r="206" spans="1:7" ht="12.75" customHeight="1">
      <c r="A206" s="124"/>
      <c r="B206" s="124"/>
      <c r="C206" s="261"/>
      <c r="D206" s="124"/>
      <c r="E206" s="262"/>
      <c r="F206" s="262"/>
      <c r="G206" s="263"/>
    </row>
    <row r="207" spans="1:7" ht="12.75" customHeight="1">
      <c r="A207" s="124"/>
      <c r="B207" s="124"/>
      <c r="C207" s="261"/>
      <c r="D207" s="124"/>
      <c r="E207" s="262"/>
      <c r="F207" s="262"/>
      <c r="G207" s="263"/>
    </row>
    <row r="208" spans="1:7" ht="12.75" customHeight="1">
      <c r="A208" s="124"/>
      <c r="B208" s="124"/>
      <c r="C208" s="261"/>
      <c r="D208" s="124"/>
      <c r="E208" s="262"/>
      <c r="F208" s="262"/>
      <c r="G208" s="263"/>
    </row>
    <row r="209" spans="1:7" ht="12.75" customHeight="1">
      <c r="A209" s="124"/>
      <c r="B209" s="124"/>
      <c r="C209" s="261"/>
      <c r="D209" s="124"/>
      <c r="E209" s="262"/>
      <c r="F209" s="262"/>
      <c r="G209" s="263"/>
    </row>
    <row r="210" spans="1:7" ht="12.75" customHeight="1">
      <c r="A210" s="124"/>
      <c r="B210" s="124"/>
      <c r="C210" s="261"/>
      <c r="D210" s="124"/>
      <c r="E210" s="262"/>
      <c r="F210" s="262"/>
      <c r="G210" s="263"/>
    </row>
    <row r="211" spans="1:7" ht="12.75" customHeight="1">
      <c r="A211" s="124"/>
      <c r="B211" s="124"/>
      <c r="C211" s="261"/>
      <c r="D211" s="124"/>
      <c r="E211" s="262"/>
      <c r="F211" s="262"/>
      <c r="G211" s="263"/>
    </row>
    <row r="212" spans="1:7" ht="12.75" customHeight="1">
      <c r="A212" s="124"/>
      <c r="B212" s="124"/>
      <c r="C212" s="261"/>
      <c r="D212" s="124"/>
      <c r="E212" s="262"/>
      <c r="F212" s="262"/>
      <c r="G212" s="263"/>
    </row>
    <row r="213" spans="1:7" ht="12.75" customHeight="1">
      <c r="A213" s="124"/>
      <c r="B213" s="124"/>
      <c r="C213" s="261"/>
      <c r="D213" s="124"/>
      <c r="E213" s="262"/>
      <c r="F213" s="262"/>
      <c r="G213" s="263"/>
    </row>
    <row r="214" spans="1:7" ht="12.75" customHeight="1">
      <c r="A214" s="124"/>
      <c r="B214" s="124"/>
      <c r="C214" s="261"/>
      <c r="D214" s="124"/>
      <c r="E214" s="262"/>
      <c r="F214" s="262"/>
      <c r="G214" s="263"/>
    </row>
    <row r="215" spans="1:7" ht="12.75" customHeight="1">
      <c r="A215" s="124"/>
      <c r="B215" s="124"/>
      <c r="C215" s="261"/>
      <c r="D215" s="124"/>
      <c r="E215" s="262"/>
      <c r="F215" s="262"/>
      <c r="G215" s="263"/>
    </row>
    <row r="216" spans="1:7" ht="12.75" customHeight="1">
      <c r="A216" s="124"/>
      <c r="B216" s="124"/>
      <c r="C216" s="261"/>
      <c r="D216" s="124"/>
      <c r="E216" s="262"/>
      <c r="F216" s="262"/>
      <c r="G216" s="263"/>
    </row>
    <row r="217" spans="1:7" ht="12.75" customHeight="1">
      <c r="A217" s="124"/>
      <c r="B217" s="124"/>
      <c r="C217" s="261"/>
      <c r="D217" s="124"/>
      <c r="E217" s="262"/>
      <c r="F217" s="262"/>
      <c r="G217" s="263"/>
    </row>
    <row r="218" spans="1:7" ht="12.75" customHeight="1">
      <c r="A218" s="124"/>
      <c r="B218" s="124"/>
      <c r="C218" s="261"/>
      <c r="D218" s="124"/>
      <c r="E218" s="262"/>
      <c r="F218" s="262"/>
      <c r="G218" s="263"/>
    </row>
    <row r="219" spans="1:7" ht="12.75" customHeight="1">
      <c r="A219" s="124"/>
      <c r="B219" s="124"/>
      <c r="C219" s="261"/>
      <c r="D219" s="124"/>
      <c r="E219" s="262"/>
      <c r="F219" s="262"/>
      <c r="G219" s="263"/>
    </row>
    <row r="220" spans="1:7" ht="12.75" customHeight="1">
      <c r="A220" s="124"/>
      <c r="B220" s="124"/>
      <c r="C220" s="261"/>
      <c r="D220" s="124"/>
      <c r="E220" s="262"/>
      <c r="F220" s="262"/>
      <c r="G220" s="263"/>
    </row>
    <row r="221" spans="1:7" ht="12.75" customHeight="1">
      <c r="A221" s="124"/>
      <c r="B221" s="124"/>
      <c r="C221" s="261"/>
      <c r="D221" s="124"/>
      <c r="E221" s="262"/>
      <c r="F221" s="262"/>
      <c r="G221" s="263"/>
    </row>
    <row r="222" spans="1:7" ht="12.75" customHeight="1">
      <c r="A222" s="124"/>
      <c r="B222" s="124"/>
      <c r="C222" s="261"/>
      <c r="D222" s="124"/>
      <c r="E222" s="262"/>
      <c r="F222" s="262"/>
      <c r="G222" s="263"/>
    </row>
    <row r="223" spans="1:7" ht="12.75" customHeight="1">
      <c r="A223" s="124"/>
      <c r="B223" s="124"/>
      <c r="C223" s="261"/>
      <c r="D223" s="124"/>
      <c r="E223" s="262"/>
      <c r="F223" s="262"/>
      <c r="G223" s="263"/>
    </row>
    <row r="224" spans="1:7" ht="12.75" customHeight="1">
      <c r="A224" s="124"/>
      <c r="B224" s="124"/>
      <c r="C224" s="261"/>
      <c r="D224" s="124"/>
      <c r="E224" s="262"/>
      <c r="F224" s="262"/>
      <c r="G224" s="263"/>
    </row>
    <row r="225" spans="1:7" ht="12.75" customHeight="1">
      <c r="A225" s="124"/>
      <c r="B225" s="124"/>
      <c r="C225" s="261"/>
      <c r="D225" s="124"/>
      <c r="E225" s="262"/>
      <c r="F225" s="262"/>
      <c r="G225" s="263"/>
    </row>
    <row r="226" spans="1:7" ht="12.75" customHeight="1">
      <c r="A226" s="124"/>
      <c r="B226" s="124"/>
      <c r="C226" s="261"/>
      <c r="D226" s="124"/>
      <c r="E226" s="262"/>
      <c r="F226" s="262"/>
      <c r="G226" s="263"/>
    </row>
    <row r="227" spans="1:7" ht="12.75" customHeight="1">
      <c r="A227" s="124"/>
      <c r="B227" s="124"/>
      <c r="C227" s="261"/>
      <c r="D227" s="124"/>
      <c r="E227" s="262"/>
      <c r="F227" s="262"/>
      <c r="G227" s="263"/>
    </row>
    <row r="228" spans="1:7" ht="12.75" customHeight="1">
      <c r="A228" s="124"/>
      <c r="B228" s="124"/>
      <c r="C228" s="261"/>
      <c r="D228" s="124"/>
      <c r="E228" s="262"/>
      <c r="F228" s="262"/>
      <c r="G228" s="263"/>
    </row>
    <row r="229" spans="1:7" ht="12.75" customHeight="1">
      <c r="A229" s="124"/>
      <c r="B229" s="124"/>
      <c r="C229" s="261"/>
      <c r="D229" s="124"/>
      <c r="E229" s="262"/>
      <c r="F229" s="262"/>
      <c r="G229" s="263"/>
    </row>
    <row r="230" spans="1:7" ht="12.75" customHeight="1">
      <c r="A230" s="124"/>
      <c r="B230" s="124"/>
      <c r="C230" s="261"/>
      <c r="D230" s="124"/>
      <c r="E230" s="262"/>
      <c r="F230" s="262"/>
      <c r="G230" s="263"/>
    </row>
    <row r="231" spans="1:7" ht="12.75" customHeight="1">
      <c r="A231" s="124"/>
      <c r="B231" s="124"/>
      <c r="C231" s="261"/>
      <c r="D231" s="124"/>
      <c r="E231" s="262"/>
      <c r="F231" s="262"/>
      <c r="G231" s="263"/>
    </row>
    <row r="232" spans="1:7" ht="12.75" customHeight="1">
      <c r="A232" s="124"/>
      <c r="B232" s="124"/>
      <c r="C232" s="261"/>
      <c r="D232" s="124"/>
      <c r="E232" s="262"/>
      <c r="F232" s="262"/>
      <c r="G232" s="263"/>
    </row>
    <row r="233" spans="1:7" ht="12.75" customHeight="1">
      <c r="A233" s="124"/>
      <c r="B233" s="124"/>
      <c r="C233" s="261"/>
      <c r="D233" s="124"/>
      <c r="E233" s="262"/>
      <c r="F233" s="262"/>
      <c r="G233" s="263"/>
    </row>
    <row r="234" spans="1:7" ht="12.75" customHeight="1">
      <c r="A234" s="124"/>
      <c r="B234" s="124"/>
      <c r="C234" s="261"/>
      <c r="D234" s="124"/>
      <c r="E234" s="262"/>
      <c r="F234" s="262"/>
      <c r="G234" s="263"/>
    </row>
    <row r="235" spans="1:7" ht="12.75" customHeight="1">
      <c r="A235" s="124"/>
      <c r="B235" s="124"/>
      <c r="C235" s="261"/>
      <c r="D235" s="124"/>
      <c r="E235" s="262"/>
      <c r="F235" s="262"/>
      <c r="G235" s="263"/>
    </row>
    <row r="236" spans="1:7" ht="12.75" customHeight="1">
      <c r="A236" s="124"/>
      <c r="B236" s="124"/>
      <c r="C236" s="261"/>
      <c r="D236" s="124"/>
      <c r="E236" s="262"/>
      <c r="F236" s="262"/>
      <c r="G236" s="263"/>
    </row>
    <row r="237" spans="1:7" ht="12.75" customHeight="1">
      <c r="A237" s="124"/>
      <c r="B237" s="124"/>
      <c r="C237" s="261"/>
      <c r="D237" s="124"/>
      <c r="E237" s="262"/>
      <c r="F237" s="262"/>
      <c r="G237" s="263"/>
    </row>
    <row r="238" spans="1:7" ht="12.75" customHeight="1">
      <c r="A238" s="124"/>
      <c r="B238" s="124"/>
      <c r="C238" s="261"/>
      <c r="D238" s="124"/>
      <c r="E238" s="262"/>
      <c r="F238" s="262"/>
      <c r="G238" s="263"/>
    </row>
    <row r="239" spans="1:7" ht="12.75" customHeight="1">
      <c r="A239" s="124"/>
      <c r="B239" s="124"/>
      <c r="C239" s="261"/>
      <c r="D239" s="124"/>
      <c r="E239" s="262"/>
      <c r="F239" s="262"/>
      <c r="G239" s="263"/>
    </row>
    <row r="240" spans="1:7" ht="12.75" customHeight="1">
      <c r="A240" s="124"/>
      <c r="B240" s="124"/>
      <c r="C240" s="261"/>
      <c r="D240" s="124"/>
      <c r="E240" s="262"/>
      <c r="F240" s="262"/>
      <c r="G240" s="263"/>
    </row>
    <row r="241" spans="1:7" ht="12.75" customHeight="1">
      <c r="A241" s="124"/>
      <c r="B241" s="124"/>
      <c r="C241" s="261"/>
      <c r="D241" s="124"/>
      <c r="E241" s="262"/>
      <c r="F241" s="262"/>
      <c r="G241" s="263"/>
    </row>
    <row r="242" spans="1:7" ht="12.75" customHeight="1">
      <c r="A242" s="124"/>
      <c r="B242" s="124"/>
      <c r="C242" s="261"/>
      <c r="D242" s="124"/>
      <c r="E242" s="262"/>
      <c r="F242" s="262"/>
      <c r="G242" s="263"/>
    </row>
    <row r="243" spans="1:7" ht="12.75" customHeight="1">
      <c r="A243" s="124"/>
      <c r="B243" s="124"/>
      <c r="C243" s="261"/>
      <c r="D243" s="124"/>
      <c r="E243" s="262"/>
      <c r="F243" s="262"/>
      <c r="G243" s="263"/>
    </row>
    <row r="244" spans="1:7" ht="12.75" customHeight="1">
      <c r="A244" s="124"/>
      <c r="B244" s="124"/>
      <c r="C244" s="261"/>
      <c r="D244" s="124"/>
      <c r="E244" s="262"/>
      <c r="F244" s="262"/>
      <c r="G244" s="263"/>
    </row>
    <row r="245" spans="1:7" ht="12.75" customHeight="1">
      <c r="A245" s="124"/>
      <c r="B245" s="124"/>
      <c r="C245" s="261"/>
      <c r="D245" s="124"/>
      <c r="E245" s="262"/>
      <c r="F245" s="262"/>
      <c r="G245" s="263"/>
    </row>
    <row r="246" spans="1:7" ht="12.75" customHeight="1">
      <c r="A246" s="124"/>
      <c r="B246" s="124"/>
      <c r="C246" s="261"/>
      <c r="D246" s="124"/>
      <c r="E246" s="262"/>
      <c r="F246" s="262"/>
      <c r="G246" s="263"/>
    </row>
    <row r="247" spans="1:7" ht="12.75" customHeight="1">
      <c r="A247" s="124"/>
      <c r="B247" s="124"/>
      <c r="C247" s="261"/>
      <c r="D247" s="124"/>
      <c r="E247" s="262"/>
      <c r="F247" s="262"/>
      <c r="G247" s="263"/>
    </row>
    <row r="248" spans="1:7" ht="12.75" customHeight="1">
      <c r="A248" s="124"/>
      <c r="B248" s="124"/>
      <c r="C248" s="261"/>
      <c r="D248" s="124"/>
      <c r="E248" s="262"/>
      <c r="F248" s="262"/>
      <c r="G248" s="263"/>
    </row>
    <row r="249" spans="1:7" ht="12.75" customHeight="1">
      <c r="A249" s="124"/>
      <c r="B249" s="124"/>
      <c r="C249" s="261"/>
      <c r="D249" s="124"/>
      <c r="E249" s="262"/>
      <c r="F249" s="262"/>
      <c r="G249" s="263"/>
    </row>
    <row r="250" spans="1:7" ht="12.75" customHeight="1">
      <c r="A250" s="124"/>
      <c r="B250" s="124"/>
      <c r="C250" s="261"/>
      <c r="D250" s="124"/>
      <c r="E250" s="262"/>
      <c r="F250" s="262"/>
      <c r="G250" s="263"/>
    </row>
    <row r="251" spans="1:7" ht="12.75" customHeight="1">
      <c r="A251" s="124"/>
      <c r="B251" s="124"/>
      <c r="C251" s="261"/>
      <c r="D251" s="124"/>
      <c r="E251" s="262"/>
      <c r="F251" s="262"/>
      <c r="G251" s="263"/>
    </row>
    <row r="252" spans="1:7" ht="12.75" customHeight="1">
      <c r="A252" s="124"/>
      <c r="B252" s="124"/>
      <c r="C252" s="261"/>
      <c r="D252" s="124"/>
      <c r="E252" s="262"/>
      <c r="F252" s="262"/>
      <c r="G252" s="263"/>
    </row>
    <row r="253" spans="1:7" ht="12.75" customHeight="1">
      <c r="A253" s="124"/>
      <c r="B253" s="124"/>
      <c r="C253" s="261"/>
      <c r="D253" s="124"/>
      <c r="E253" s="262"/>
      <c r="F253" s="262"/>
      <c r="G253" s="263"/>
    </row>
    <row r="254" spans="1:7" ht="12.75" customHeight="1">
      <c r="A254" s="124"/>
      <c r="B254" s="124"/>
      <c r="C254" s="261"/>
      <c r="D254" s="124"/>
      <c r="E254" s="262"/>
      <c r="F254" s="262"/>
      <c r="G254" s="263"/>
    </row>
    <row r="255" spans="1:7" ht="12.75" customHeight="1">
      <c r="A255" s="124"/>
      <c r="B255" s="124"/>
      <c r="C255" s="261"/>
      <c r="D255" s="124"/>
      <c r="E255" s="262"/>
      <c r="F255" s="262"/>
      <c r="G255" s="263"/>
    </row>
    <row r="256" spans="1:7" ht="12.75" customHeight="1">
      <c r="A256" s="124"/>
      <c r="B256" s="124"/>
      <c r="C256" s="261"/>
      <c r="D256" s="124"/>
      <c r="E256" s="262"/>
      <c r="F256" s="262"/>
      <c r="G256" s="263"/>
    </row>
    <row r="257" spans="1:7" ht="12.75" customHeight="1">
      <c r="A257" s="124"/>
      <c r="B257" s="124"/>
      <c r="C257" s="261"/>
      <c r="D257" s="124"/>
      <c r="E257" s="262"/>
      <c r="F257" s="262"/>
      <c r="G257" s="263"/>
    </row>
    <row r="258" spans="1:7" ht="12.75" customHeight="1">
      <c r="A258" s="124"/>
      <c r="B258" s="124"/>
      <c r="C258" s="261"/>
      <c r="D258" s="124"/>
      <c r="E258" s="262"/>
      <c r="F258" s="262"/>
      <c r="G258" s="263"/>
    </row>
    <row r="259" spans="1:7" ht="12.75" customHeight="1">
      <c r="A259" s="124"/>
      <c r="B259" s="124"/>
      <c r="C259" s="261"/>
      <c r="D259" s="124"/>
      <c r="E259" s="262"/>
      <c r="F259" s="262"/>
      <c r="G259" s="263"/>
    </row>
    <row r="260" spans="1:7" ht="12.75" customHeight="1">
      <c r="A260" s="124"/>
      <c r="B260" s="124"/>
      <c r="C260" s="261"/>
      <c r="D260" s="124"/>
      <c r="E260" s="262"/>
      <c r="F260" s="262"/>
      <c r="G260" s="263"/>
    </row>
    <row r="261" spans="1:7" ht="12.75" customHeight="1">
      <c r="A261" s="124"/>
      <c r="B261" s="124"/>
      <c r="C261" s="261"/>
      <c r="D261" s="124"/>
      <c r="E261" s="262"/>
      <c r="F261" s="262"/>
      <c r="G261" s="263"/>
    </row>
    <row r="262" spans="1:7" ht="12.75" customHeight="1">
      <c r="A262" s="124"/>
      <c r="B262" s="124"/>
      <c r="C262" s="261"/>
      <c r="D262" s="124"/>
      <c r="E262" s="262"/>
      <c r="F262" s="262"/>
      <c r="G262" s="263"/>
    </row>
    <row r="263" spans="1:7" ht="12.75" customHeight="1">
      <c r="A263" s="124"/>
      <c r="B263" s="124"/>
      <c r="C263" s="261"/>
      <c r="D263" s="124"/>
      <c r="E263" s="262"/>
      <c r="F263" s="262"/>
      <c r="G263" s="263"/>
    </row>
    <row r="264" spans="1:7" ht="12.75" customHeight="1">
      <c r="A264" s="124"/>
      <c r="B264" s="124"/>
      <c r="C264" s="261"/>
      <c r="D264" s="124"/>
      <c r="E264" s="262"/>
      <c r="F264" s="262"/>
      <c r="G264" s="263"/>
    </row>
    <row r="265" spans="1:7" ht="12.75" customHeight="1">
      <c r="A265" s="124"/>
      <c r="B265" s="124"/>
      <c r="C265" s="261"/>
      <c r="D265" s="124"/>
      <c r="E265" s="262"/>
      <c r="F265" s="262"/>
      <c r="G265" s="263"/>
    </row>
    <row r="266" spans="1:7" ht="12.75" customHeight="1">
      <c r="A266" s="124"/>
      <c r="B266" s="124"/>
      <c r="C266" s="261"/>
      <c r="D266" s="124"/>
      <c r="E266" s="262"/>
      <c r="F266" s="262"/>
      <c r="G266" s="263"/>
    </row>
    <row r="267" spans="1:7" ht="12.75" customHeight="1">
      <c r="A267" s="124"/>
      <c r="B267" s="124"/>
      <c r="C267" s="261"/>
      <c r="D267" s="124"/>
      <c r="E267" s="262"/>
      <c r="F267" s="262"/>
      <c r="G267" s="263"/>
    </row>
    <row r="268" spans="1:7" ht="12.75" customHeight="1">
      <c r="A268" s="124"/>
      <c r="B268" s="124"/>
      <c r="C268" s="261"/>
      <c r="D268" s="124"/>
      <c r="E268" s="262"/>
      <c r="F268" s="262"/>
      <c r="G268" s="263"/>
    </row>
    <row r="269" spans="1:7" ht="12.75" customHeight="1">
      <c r="A269" s="124"/>
      <c r="B269" s="124"/>
      <c r="C269" s="261"/>
      <c r="D269" s="124"/>
      <c r="E269" s="262"/>
      <c r="F269" s="262"/>
      <c r="G269" s="263"/>
    </row>
    <row r="270" spans="1:7" ht="12.75" customHeight="1">
      <c r="A270" s="124"/>
      <c r="B270" s="124"/>
      <c r="C270" s="261"/>
      <c r="D270" s="124"/>
      <c r="E270" s="262"/>
      <c r="F270" s="262"/>
      <c r="G270" s="263"/>
    </row>
    <row r="271" spans="1:7" ht="12.75" customHeight="1">
      <c r="A271" s="124"/>
      <c r="B271" s="124"/>
      <c r="C271" s="261"/>
      <c r="D271" s="124"/>
      <c r="E271" s="262"/>
      <c r="F271" s="262"/>
      <c r="G271" s="263"/>
    </row>
    <row r="272" spans="1:7" ht="12.75" customHeight="1">
      <c r="A272" s="124"/>
      <c r="B272" s="124"/>
      <c r="C272" s="261"/>
      <c r="D272" s="124"/>
      <c r="E272" s="262"/>
      <c r="F272" s="262"/>
      <c r="G272" s="263"/>
    </row>
    <row r="273" spans="1:7" ht="12.75" customHeight="1">
      <c r="A273" s="124"/>
      <c r="B273" s="124"/>
      <c r="C273" s="261"/>
      <c r="D273" s="124"/>
      <c r="E273" s="262"/>
      <c r="F273" s="262"/>
      <c r="G273" s="263"/>
    </row>
    <row r="274" spans="1:7" ht="12.75" customHeight="1">
      <c r="A274" s="124"/>
      <c r="B274" s="124"/>
      <c r="C274" s="261"/>
      <c r="D274" s="124"/>
      <c r="E274" s="262"/>
      <c r="F274" s="262"/>
      <c r="G274" s="263"/>
    </row>
    <row r="275" spans="1:7" ht="12.75" customHeight="1">
      <c r="A275" s="124"/>
      <c r="B275" s="124"/>
      <c r="C275" s="261"/>
      <c r="D275" s="124"/>
      <c r="E275" s="262"/>
      <c r="F275" s="262"/>
      <c r="G275" s="263"/>
    </row>
    <row r="276" spans="1:7" ht="12.75" customHeight="1">
      <c r="A276" s="124"/>
      <c r="B276" s="124"/>
      <c r="C276" s="261"/>
      <c r="D276" s="124"/>
      <c r="E276" s="262"/>
      <c r="F276" s="262"/>
      <c r="G276" s="263"/>
    </row>
    <row r="277" spans="1:7" ht="12.75" customHeight="1">
      <c r="A277" s="124"/>
      <c r="B277" s="124"/>
      <c r="C277" s="261"/>
      <c r="D277" s="124"/>
      <c r="E277" s="262"/>
      <c r="F277" s="262"/>
      <c r="G277" s="263"/>
    </row>
    <row r="278" spans="1:7" ht="12.75" customHeight="1">
      <c r="A278" s="124"/>
      <c r="B278" s="124"/>
      <c r="C278" s="261"/>
      <c r="D278" s="124"/>
      <c r="E278" s="262"/>
      <c r="F278" s="262"/>
      <c r="G278" s="263"/>
    </row>
    <row r="279" spans="1:7" ht="12.75" customHeight="1">
      <c r="A279" s="124"/>
      <c r="B279" s="124"/>
      <c r="C279" s="261"/>
      <c r="D279" s="124"/>
      <c r="E279" s="262"/>
      <c r="F279" s="262"/>
      <c r="G279" s="263"/>
    </row>
    <row r="280" spans="1:7" ht="12.75" customHeight="1">
      <c r="A280" s="124"/>
      <c r="B280" s="124"/>
      <c r="C280" s="261"/>
      <c r="D280" s="124"/>
      <c r="E280" s="262"/>
      <c r="F280" s="262"/>
      <c r="G280" s="263"/>
    </row>
    <row r="281" spans="1:7" ht="12.75" customHeight="1">
      <c r="A281" s="124"/>
      <c r="B281" s="124"/>
      <c r="C281" s="261"/>
      <c r="D281" s="124"/>
      <c r="E281" s="262"/>
      <c r="F281" s="262"/>
      <c r="G281" s="263"/>
    </row>
    <row r="282" spans="1:7" ht="12.75" customHeight="1">
      <c r="A282" s="124"/>
      <c r="B282" s="124"/>
      <c r="C282" s="261"/>
      <c r="D282" s="124"/>
      <c r="E282" s="262"/>
      <c r="F282" s="262"/>
      <c r="G282" s="263"/>
    </row>
    <row r="283" spans="1:7" ht="12.75" customHeight="1">
      <c r="A283" s="124"/>
      <c r="B283" s="124"/>
      <c r="C283" s="261"/>
      <c r="D283" s="124"/>
      <c r="E283" s="262"/>
      <c r="F283" s="262"/>
      <c r="G283" s="263"/>
    </row>
    <row r="284" spans="1:7" ht="12.75" customHeight="1">
      <c r="A284" s="124"/>
      <c r="B284" s="124"/>
      <c r="C284" s="261"/>
      <c r="D284" s="124"/>
      <c r="E284" s="262"/>
      <c r="F284" s="262"/>
      <c r="G284" s="263"/>
    </row>
    <row r="285" spans="1:7" ht="12.75" customHeight="1">
      <c r="A285" s="124"/>
      <c r="B285" s="124"/>
      <c r="C285" s="261"/>
      <c r="D285" s="124"/>
      <c r="E285" s="262"/>
      <c r="F285" s="262"/>
      <c r="G285" s="263"/>
    </row>
    <row r="286" spans="1:7" ht="12.75" customHeight="1">
      <c r="A286" s="124"/>
      <c r="B286" s="124"/>
      <c r="C286" s="261"/>
      <c r="D286" s="124"/>
      <c r="E286" s="262"/>
      <c r="F286" s="262"/>
      <c r="G286" s="263"/>
    </row>
    <row r="287" spans="1:7" ht="12.75" customHeight="1">
      <c r="A287" s="124"/>
      <c r="B287" s="124"/>
      <c r="C287" s="261"/>
      <c r="D287" s="124"/>
      <c r="E287" s="262"/>
      <c r="F287" s="262"/>
      <c r="G287" s="263"/>
    </row>
    <row r="288" spans="1:7" ht="12.75" customHeight="1">
      <c r="A288" s="124"/>
      <c r="B288" s="124"/>
      <c r="C288" s="261"/>
      <c r="D288" s="124"/>
      <c r="E288" s="262"/>
      <c r="F288" s="262"/>
      <c r="G288" s="263"/>
    </row>
    <row r="289" spans="1:7" ht="12.75" customHeight="1">
      <c r="A289" s="124"/>
      <c r="B289" s="124"/>
      <c r="C289" s="261"/>
      <c r="D289" s="124"/>
      <c r="E289" s="262"/>
      <c r="F289" s="262"/>
      <c r="G289" s="263"/>
    </row>
    <row r="290" spans="1:7" ht="12.75" customHeight="1">
      <c r="A290" s="124"/>
      <c r="B290" s="124"/>
      <c r="C290" s="261"/>
      <c r="D290" s="124"/>
      <c r="E290" s="262"/>
      <c r="F290" s="262"/>
      <c r="G290" s="263"/>
    </row>
    <row r="291" spans="1:7" ht="12.75" customHeight="1">
      <c r="A291" s="124"/>
      <c r="B291" s="124"/>
      <c r="C291" s="261"/>
      <c r="D291" s="124"/>
      <c r="E291" s="262"/>
      <c r="F291" s="262"/>
      <c r="G291" s="263"/>
    </row>
    <row r="292" spans="1:7" ht="12.75" customHeight="1">
      <c r="A292" s="124"/>
      <c r="B292" s="124"/>
      <c r="C292" s="261"/>
      <c r="D292" s="124"/>
      <c r="E292" s="262"/>
      <c r="F292" s="262"/>
      <c r="G292" s="263"/>
    </row>
    <row r="293" spans="1:7" ht="12.75" customHeight="1">
      <c r="A293" s="124"/>
      <c r="B293" s="124"/>
      <c r="C293" s="261"/>
      <c r="D293" s="124"/>
      <c r="E293" s="262"/>
      <c r="F293" s="262"/>
      <c r="G293" s="263"/>
    </row>
    <row r="294" spans="1:7" ht="12.75" customHeight="1">
      <c r="A294" s="124"/>
      <c r="B294" s="124"/>
      <c r="C294" s="261"/>
      <c r="D294" s="124"/>
      <c r="E294" s="262"/>
      <c r="F294" s="262"/>
      <c r="G294" s="263"/>
    </row>
    <row r="295" spans="1:7" ht="12.75" customHeight="1">
      <c r="A295" s="124"/>
      <c r="B295" s="124"/>
      <c r="C295" s="261"/>
      <c r="D295" s="124"/>
      <c r="E295" s="262"/>
      <c r="F295" s="262"/>
      <c r="G295" s="263"/>
    </row>
    <row r="296" spans="1:7" ht="12.75" customHeight="1">
      <c r="A296" s="124"/>
      <c r="B296" s="124"/>
      <c r="C296" s="261"/>
      <c r="D296" s="124"/>
      <c r="E296" s="262"/>
      <c r="F296" s="262"/>
      <c r="G296" s="263"/>
    </row>
    <row r="297" spans="1:7" ht="12.75" customHeight="1"/>
    <row r="298" spans="1:7" ht="12.75" customHeight="1"/>
    <row r="299" spans="1:7" ht="12.75" customHeight="1"/>
    <row r="300" spans="1:7" ht="12.75" customHeight="1"/>
    <row r="301" spans="1:7" ht="12.75" customHeight="1"/>
    <row r="302" spans="1:7" ht="12.75" customHeight="1"/>
    <row r="303" spans="1:7" ht="12.75" customHeight="1"/>
    <row r="304" spans="1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</sheetData>
  <mergeCells count="7">
    <mergeCell ref="A1:G1"/>
    <mergeCell ref="D2:G2"/>
    <mergeCell ref="H5:I5"/>
    <mergeCell ref="H73:J73"/>
    <mergeCell ref="A2:A3"/>
    <mergeCell ref="B2:B3"/>
    <mergeCell ref="C2:C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9" workbookViewId="0">
      <selection activeCell="A9" sqref="A1:I28"/>
    </sheetView>
  </sheetViews>
  <sheetFormatPr defaultRowHeight="15"/>
  <cols>
    <col min="1" max="1" width="4.28515625" customWidth="1"/>
    <col min="2" max="2" width="12.28515625" customWidth="1"/>
    <col min="5" max="5" width="13.42578125" customWidth="1"/>
    <col min="6" max="6" width="11.28515625" customWidth="1"/>
    <col min="9" max="9" width="16.28515625" customWidth="1"/>
  </cols>
  <sheetData>
    <row r="1" spans="1:9" ht="15.75">
      <c r="A1" s="349" t="s">
        <v>384</v>
      </c>
      <c r="B1" s="349"/>
      <c r="C1" s="349"/>
      <c r="D1" s="349"/>
      <c r="E1" s="349"/>
      <c r="F1" s="349"/>
      <c r="G1" s="349"/>
      <c r="H1" s="349"/>
      <c r="I1" s="349"/>
    </row>
    <row r="2" spans="1:9" ht="32.25" customHeight="1">
      <c r="A2" s="350" t="s">
        <v>385</v>
      </c>
      <c r="B2" s="350"/>
      <c r="C2" s="350"/>
      <c r="D2" s="350"/>
      <c r="E2" s="350"/>
      <c r="F2" s="350"/>
      <c r="G2" s="350"/>
      <c r="H2" s="350"/>
      <c r="I2" s="350"/>
    </row>
    <row r="3" spans="1:9" ht="94.5">
      <c r="A3" s="351" t="s">
        <v>0</v>
      </c>
      <c r="B3" s="351" t="s">
        <v>274</v>
      </c>
      <c r="C3" s="351" t="s">
        <v>280</v>
      </c>
      <c r="D3" s="351" t="s">
        <v>275</v>
      </c>
      <c r="E3" s="351" t="s">
        <v>276</v>
      </c>
      <c r="F3" s="351" t="s">
        <v>386</v>
      </c>
      <c r="G3" s="351" t="s">
        <v>277</v>
      </c>
      <c r="H3" s="351" t="s">
        <v>278</v>
      </c>
      <c r="I3" s="351" t="s">
        <v>5</v>
      </c>
    </row>
    <row r="4" spans="1:9" ht="15.75" customHeight="1">
      <c r="A4" s="352" t="s">
        <v>279</v>
      </c>
      <c r="B4" s="353"/>
      <c r="C4" s="353"/>
      <c r="D4" s="353"/>
      <c r="E4" s="353"/>
      <c r="F4" s="353"/>
      <c r="G4" s="353"/>
      <c r="H4" s="353"/>
      <c r="I4" s="354"/>
    </row>
    <row r="5" spans="1:9" ht="31.5">
      <c r="A5" s="355"/>
      <c r="B5" s="356" t="s">
        <v>375</v>
      </c>
      <c r="C5" s="355"/>
      <c r="D5" s="355"/>
      <c r="E5" s="357">
        <v>73065.149999999994</v>
      </c>
      <c r="F5" s="355"/>
      <c r="G5" s="355"/>
      <c r="H5" s="355"/>
      <c r="I5" s="355"/>
    </row>
    <row r="6" spans="1:9" ht="78.75">
      <c r="A6" s="351">
        <v>1</v>
      </c>
      <c r="B6" s="355" t="s">
        <v>388</v>
      </c>
      <c r="C6" s="351" t="s">
        <v>107</v>
      </c>
      <c r="D6" s="351">
        <v>44.2</v>
      </c>
      <c r="E6" s="367">
        <f>D6*550</f>
        <v>24310</v>
      </c>
      <c r="F6" s="351" t="s">
        <v>387</v>
      </c>
      <c r="G6" s="355"/>
      <c r="H6" s="355"/>
      <c r="I6" s="355"/>
    </row>
    <row r="7" spans="1:9" ht="15.75">
      <c r="A7" s="351"/>
      <c r="B7" s="358" t="s">
        <v>383</v>
      </c>
      <c r="C7" s="351"/>
      <c r="D7" s="351"/>
      <c r="E7" s="368">
        <f>E5-E6</f>
        <v>48755.149999999994</v>
      </c>
      <c r="F7" s="360"/>
      <c r="G7" s="360"/>
      <c r="H7" s="359"/>
      <c r="I7" s="360"/>
    </row>
    <row r="8" spans="1:9" ht="15.75">
      <c r="A8" s="361"/>
      <c r="B8" s="361"/>
      <c r="C8" s="361"/>
      <c r="D8" s="361"/>
      <c r="E8" s="361"/>
      <c r="F8" s="361"/>
      <c r="G8" s="361"/>
      <c r="H8" s="361"/>
      <c r="I8" s="361"/>
    </row>
    <row r="9" spans="1:9" ht="99" customHeight="1">
      <c r="A9" s="362" t="s">
        <v>393</v>
      </c>
      <c r="B9" s="362"/>
      <c r="C9" s="362"/>
      <c r="D9" s="362"/>
      <c r="E9" s="362"/>
      <c r="F9" s="362"/>
      <c r="G9" s="362"/>
      <c r="H9" s="362"/>
      <c r="I9" s="362"/>
    </row>
    <row r="10" spans="1:9" ht="15.75" hidden="1">
      <c r="A10" s="361"/>
      <c r="B10" s="361"/>
      <c r="C10" s="361"/>
      <c r="D10" s="361"/>
      <c r="E10" s="361"/>
      <c r="F10" s="361"/>
      <c r="G10" s="361"/>
      <c r="H10" s="361"/>
      <c r="I10" s="361"/>
    </row>
    <row r="11" spans="1:9" ht="80.25" customHeight="1">
      <c r="A11" s="363" t="s">
        <v>376</v>
      </c>
      <c r="B11" s="363"/>
      <c r="C11" s="363"/>
      <c r="D11" s="363"/>
      <c r="E11" s="363"/>
      <c r="F11" s="363"/>
      <c r="G11" s="363"/>
      <c r="H11" s="363"/>
      <c r="I11" s="363"/>
    </row>
    <row r="12" spans="1:9" ht="15.75">
      <c r="A12" s="361"/>
      <c r="B12" s="361"/>
      <c r="C12" s="361"/>
      <c r="D12" s="361"/>
      <c r="E12" s="361"/>
      <c r="F12" s="361"/>
      <c r="G12" s="361"/>
      <c r="H12" s="361"/>
      <c r="I12" s="361"/>
    </row>
    <row r="13" spans="1:9" ht="15.75">
      <c r="A13" s="364" t="s">
        <v>377</v>
      </c>
      <c r="B13" s="364"/>
      <c r="C13" s="364"/>
      <c r="D13" s="364"/>
      <c r="E13" s="364"/>
      <c r="F13" s="364"/>
      <c r="G13" s="364"/>
      <c r="H13" s="364"/>
      <c r="I13" s="364"/>
    </row>
    <row r="14" spans="1:9" ht="15.75">
      <c r="A14" s="365" t="s">
        <v>378</v>
      </c>
      <c r="B14" s="362" t="s">
        <v>379</v>
      </c>
      <c r="C14" s="362"/>
      <c r="D14" s="362"/>
      <c r="E14" s="362"/>
      <c r="F14" s="362"/>
      <c r="G14" s="362"/>
      <c r="H14" s="362"/>
      <c r="I14" s="362"/>
    </row>
    <row r="15" spans="1:9" ht="15.75">
      <c r="A15" s="365" t="s">
        <v>380</v>
      </c>
      <c r="B15" s="362" t="s">
        <v>381</v>
      </c>
      <c r="C15" s="362"/>
      <c r="D15" s="362"/>
      <c r="E15" s="362"/>
      <c r="F15" s="362"/>
      <c r="G15" s="362"/>
      <c r="H15" s="362"/>
      <c r="I15" s="362"/>
    </row>
    <row r="16" spans="1:9" ht="15.75">
      <c r="A16" s="369" t="s">
        <v>382</v>
      </c>
      <c r="B16" s="366" t="s">
        <v>389</v>
      </c>
      <c r="C16" s="366"/>
      <c r="D16" s="366"/>
      <c r="E16" s="366"/>
      <c r="F16" s="366"/>
      <c r="G16" s="366"/>
      <c r="H16" s="366"/>
      <c r="I16" s="366"/>
    </row>
    <row r="17" spans="1:9" ht="33" customHeight="1">
      <c r="A17" s="366"/>
      <c r="B17" s="366"/>
      <c r="C17" s="366"/>
      <c r="D17" s="366"/>
      <c r="E17" s="366"/>
      <c r="F17" s="366"/>
      <c r="G17" s="366"/>
      <c r="H17" s="366"/>
      <c r="I17" s="366"/>
    </row>
    <row r="18" spans="1:9" ht="20.25" customHeight="1">
      <c r="A18" s="370" t="s">
        <v>391</v>
      </c>
      <c r="B18" s="370"/>
      <c r="C18" s="370"/>
      <c r="D18" s="370"/>
      <c r="E18" s="370"/>
      <c r="F18" s="370"/>
      <c r="G18" s="370"/>
      <c r="H18" s="370"/>
      <c r="I18" s="370"/>
    </row>
    <row r="19" spans="1:9" ht="30.75" customHeight="1">
      <c r="A19" s="371" t="s">
        <v>392</v>
      </c>
      <c r="B19" s="371"/>
      <c r="C19" s="371"/>
      <c r="D19" s="371"/>
      <c r="E19" s="371"/>
      <c r="F19" s="371"/>
      <c r="G19" s="371"/>
      <c r="H19" s="371"/>
      <c r="I19" s="371"/>
    </row>
    <row r="20" spans="1:9" ht="82.5" customHeight="1">
      <c r="A20" s="372" t="s">
        <v>390</v>
      </c>
      <c r="B20" s="372"/>
      <c r="C20" s="372"/>
      <c r="D20" s="372"/>
      <c r="E20" s="372"/>
      <c r="F20" s="372"/>
      <c r="G20" s="372"/>
      <c r="H20" s="372"/>
      <c r="I20" s="372"/>
    </row>
    <row r="21" spans="1:9" ht="15.75">
      <c r="A21" s="366"/>
      <c r="B21" s="366"/>
      <c r="C21" s="366"/>
      <c r="D21" s="366"/>
      <c r="E21" s="366"/>
      <c r="F21" s="366"/>
      <c r="G21" s="366"/>
      <c r="H21" s="366"/>
      <c r="I21" s="366"/>
    </row>
    <row r="22" spans="1:9" ht="15.75">
      <c r="A22" s="366"/>
      <c r="B22" s="366"/>
      <c r="C22" s="366"/>
      <c r="D22" s="366"/>
      <c r="E22" s="366"/>
      <c r="F22" s="366"/>
      <c r="G22" s="366"/>
      <c r="H22" s="366"/>
      <c r="I22" s="366"/>
    </row>
    <row r="23" spans="1:9" ht="15.75">
      <c r="A23" s="366"/>
      <c r="B23" s="366"/>
      <c r="C23" s="366"/>
      <c r="D23" s="366"/>
      <c r="E23" s="366"/>
      <c r="F23" s="366"/>
      <c r="G23" s="366"/>
      <c r="H23" s="366"/>
      <c r="I23" s="366"/>
    </row>
    <row r="24" spans="1:9" ht="15.75">
      <c r="A24" s="366"/>
      <c r="B24" s="366"/>
      <c r="C24" s="366"/>
      <c r="D24" s="366"/>
      <c r="E24" s="366"/>
      <c r="F24" s="366"/>
      <c r="G24" s="366"/>
      <c r="H24" s="366"/>
      <c r="I24" s="366"/>
    </row>
    <row r="25" spans="1:9" ht="15.75">
      <c r="A25" s="366"/>
      <c r="B25" s="366"/>
      <c r="C25" s="366"/>
      <c r="D25" s="366"/>
      <c r="E25" s="366"/>
      <c r="F25" s="366"/>
      <c r="G25" s="366"/>
      <c r="H25" s="366"/>
      <c r="I25" s="366"/>
    </row>
    <row r="26" spans="1:9" ht="15.75">
      <c r="A26" s="366"/>
      <c r="B26" s="366"/>
      <c r="C26" s="366"/>
      <c r="D26" s="366"/>
      <c r="E26" s="366"/>
      <c r="F26" s="366"/>
      <c r="G26" s="366"/>
      <c r="H26" s="366"/>
      <c r="I26" s="366"/>
    </row>
    <row r="27" spans="1:9" ht="15.75">
      <c r="A27" s="366"/>
      <c r="B27" s="366"/>
      <c r="C27" s="366"/>
      <c r="D27" s="366"/>
      <c r="E27" s="366"/>
      <c r="F27" s="366"/>
      <c r="G27" s="366"/>
      <c r="H27" s="366"/>
      <c r="I27" s="366"/>
    </row>
    <row r="28" spans="1:9" ht="15.75">
      <c r="A28" s="366"/>
      <c r="B28" s="366"/>
      <c r="C28" s="366"/>
      <c r="D28" s="366"/>
      <c r="E28" s="366"/>
      <c r="F28" s="366"/>
      <c r="G28" s="366"/>
      <c r="H28" s="366"/>
      <c r="I28" s="366"/>
    </row>
    <row r="29" spans="1:9" ht="15.75">
      <c r="A29" s="366"/>
      <c r="B29" s="366"/>
      <c r="C29" s="366"/>
      <c r="D29" s="366"/>
      <c r="E29" s="366"/>
      <c r="F29" s="366"/>
      <c r="G29" s="366"/>
      <c r="H29" s="366"/>
      <c r="I29" s="366"/>
    </row>
    <row r="30" spans="1:9" ht="15.75">
      <c r="A30" s="366"/>
      <c r="B30" s="366"/>
      <c r="C30" s="366"/>
      <c r="D30" s="366"/>
      <c r="E30" s="366"/>
      <c r="F30" s="366"/>
      <c r="G30" s="366"/>
      <c r="H30" s="366"/>
      <c r="I30" s="366"/>
    </row>
    <row r="31" spans="1:9" ht="15.75">
      <c r="A31" s="366"/>
      <c r="B31" s="366"/>
      <c r="C31" s="366"/>
      <c r="D31" s="366"/>
      <c r="E31" s="366"/>
      <c r="F31" s="366"/>
      <c r="G31" s="366"/>
      <c r="H31" s="366"/>
      <c r="I31" s="366"/>
    </row>
  </sheetData>
  <mergeCells count="11">
    <mergeCell ref="A18:I18"/>
    <mergeCell ref="A19:I19"/>
    <mergeCell ref="A20:I20"/>
    <mergeCell ref="B14:I14"/>
    <mergeCell ref="B15:I15"/>
    <mergeCell ref="A1:I1"/>
    <mergeCell ref="A2:I2"/>
    <mergeCell ref="A9:I9"/>
    <mergeCell ref="A11:I11"/>
    <mergeCell ref="A13:I13"/>
    <mergeCell ref="A4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Тек.ремонт для начальников учас</vt:lpstr>
      <vt:lpstr>Козырьки 2015</vt:lpstr>
      <vt:lpstr>Гаврилов 04.2015 г.</vt:lpstr>
      <vt:lpstr>Болдырев 04.2015 г.</vt:lpstr>
      <vt:lpstr>Стыки, козырьки 04.2015 г.</vt:lpstr>
      <vt:lpstr>Стыки 01.04.2015 г. Уют</vt:lpstr>
      <vt:lpstr>Стыки 01.04.2015 г. РЭУ</vt:lpstr>
      <vt:lpstr>План на сайт 01.04.2015 г.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2016-12-07T05:16:42Z</cp:lastPrinted>
  <dcterms:created xsi:type="dcterms:W3CDTF">2011-09-30T08:13:05Z</dcterms:created>
  <dcterms:modified xsi:type="dcterms:W3CDTF">2017-11-27T08:39:19Z</dcterms:modified>
</cp:coreProperties>
</file>